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rswoj.SEJMIK\Desktop\wrrrrrr\"/>
    </mc:Choice>
  </mc:AlternateContent>
  <bookViews>
    <workbookView xWindow="-120" yWindow="-120" windowWidth="29040" windowHeight="15720" tabRatio="790" firstSheet="3" activeTab="3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innych" sheetId="29" r:id="rId5"/>
    <sheet name="tab.4_BDO" sheetId="28" r:id="rId6"/>
  </sheets>
  <externalReferences>
    <externalReference r:id="rId7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4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91029"/>
</workbook>
</file>

<file path=xl/calcChain.xml><?xml version="1.0" encoding="utf-8"?>
<calcChain xmlns="http://schemas.openxmlformats.org/spreadsheetml/2006/main">
  <c r="D18" i="28" l="1"/>
  <c r="D19" i="28"/>
  <c r="D20" i="28"/>
  <c r="D21" i="28"/>
  <c r="B18" i="28"/>
  <c r="B19" i="28"/>
  <c r="B20" i="28"/>
  <c r="B21" i="28"/>
  <c r="H8" i="29" l="1"/>
  <c r="D8" i="29"/>
  <c r="D10" i="28"/>
  <c r="D11" i="28"/>
  <c r="D12" i="28"/>
  <c r="D13" i="28"/>
  <c r="D14" i="28"/>
  <c r="D15" i="28"/>
  <c r="D16" i="28"/>
  <c r="D17" i="28"/>
  <c r="D22" i="28"/>
  <c r="D9" i="28"/>
  <c r="H7" i="29" l="1"/>
  <c r="G7" i="29"/>
  <c r="C7" i="29"/>
  <c r="D7" i="29"/>
  <c r="B10" i="28" l="1"/>
  <c r="B11" i="28"/>
  <c r="B12" i="28"/>
  <c r="B13" i="28"/>
  <c r="B14" i="28"/>
  <c r="B15" i="28"/>
  <c r="B16" i="28"/>
  <c r="B17" i="28"/>
  <c r="B22" i="28"/>
  <c r="B9" i="28"/>
  <c r="Z15" i="25" l="1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B7" i="28" l="1"/>
  <c r="C7" i="28" s="1"/>
  <c r="D7" i="28" s="1"/>
  <c r="E7" i="28" s="1"/>
  <c r="F7" i="28" s="1"/>
  <c r="G7" i="28" s="1"/>
  <c r="H7" i="28" s="1"/>
  <c r="AC22" i="28"/>
  <c r="AC17" i="28"/>
  <c r="AC16" i="28"/>
  <c r="AC15" i="28"/>
  <c r="AC14" i="28"/>
  <c r="AC13" i="28"/>
  <c r="AC12" i="28"/>
  <c r="AC11" i="28"/>
  <c r="AC10" i="28"/>
  <c r="AC9" i="28"/>
  <c r="J4" i="28"/>
  <c r="I4" i="28"/>
  <c r="H4" i="28"/>
  <c r="I7" i="28" l="1"/>
  <c r="J7" i="28" s="1"/>
  <c r="K7" i="28" s="1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F9" i="29" s="1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E8" i="29" l="1"/>
  <c r="F7" i="29"/>
  <c r="E7" i="29"/>
  <c r="E1" i="25"/>
  <c r="F1" i="25" s="1"/>
  <c r="G1" i="25" s="1"/>
  <c r="H1" i="25" s="1"/>
  <c r="I1" i="25" s="1"/>
  <c r="T3" i="25" l="1"/>
  <c r="J1" i="25"/>
  <c r="K1" i="25" l="1"/>
  <c r="U3" i="25"/>
  <c r="L1" i="25" l="1"/>
  <c r="V3" i="25"/>
  <c r="B1" i="20"/>
  <c r="C1" i="20" s="1"/>
  <c r="M1" i="25" l="1"/>
  <c r="W3" i="25"/>
  <c r="D1" i="20"/>
  <c r="N1" i="25" l="1"/>
  <c r="X3" i="25"/>
  <c r="E1" i="20"/>
  <c r="Y3" i="25" l="1"/>
  <c r="O1" i="25"/>
  <c r="Z3" i="25" l="1"/>
  <c r="P1" i="25"/>
  <c r="Q1" i="25" l="1"/>
  <c r="R1" i="25" s="1"/>
  <c r="S1" i="25" s="1"/>
  <c r="T1" i="25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1" i="4" l="1"/>
  <c r="F1" i="4" l="1"/>
  <c r="G1" i="4" s="1"/>
  <c r="H1" i="4" s="1"/>
  <c r="I1" i="4" s="1"/>
  <c r="J1" i="4" s="1"/>
  <c r="K1" i="4" s="1"/>
  <c r="L1" i="4" s="1"/>
  <c r="M1" i="4" s="1"/>
  <c r="N1" i="4" s="1"/>
  <c r="E21" i="28" l="1"/>
  <c r="E14" i="28"/>
  <c r="E12" i="28"/>
  <c r="E13" i="28"/>
  <c r="O1" i="4"/>
  <c r="E9" i="28"/>
  <c r="E20" i="28"/>
  <c r="E15" i="28"/>
  <c r="E19" i="28"/>
  <c r="E11" i="28"/>
  <c r="E18" i="28"/>
  <c r="E16" i="28"/>
  <c r="E10" i="28"/>
  <c r="E17" i="28"/>
  <c r="E22" i="28"/>
</calcChain>
</file>

<file path=xl/sharedStrings.xml><?xml version="1.0" encoding="utf-8"?>
<sst xmlns="http://schemas.openxmlformats.org/spreadsheetml/2006/main" count="897" uniqueCount="431">
  <si>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</si>
  <si>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</si>
  <si>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</si>
  <si>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</si>
  <si>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</si>
  <si>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</si>
  <si>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</si>
  <si>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</si>
  <si>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</si>
  <si>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</si>
  <si>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</si>
  <si>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</si>
  <si>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Informacje ogóle na temat sprawozdania z Programu ochrony powietrza</t>
  </si>
  <si>
    <t>Nazwa Urzędu Marszałkowskiego przejmującego sprawozdanie</t>
  </si>
  <si>
    <t>Adres pocztowy Urzędu Marszałkowskiego</t>
  </si>
  <si>
    <t>Numer służbowego faksu osoby do kontaktu</t>
  </si>
  <si>
    <t>Opatów</t>
  </si>
  <si>
    <t>Strefa i kod strefy</t>
  </si>
  <si>
    <t>kod zadania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</si>
  <si>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</si>
  <si>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</si>
  <si>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</si>
  <si>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</si>
  <si>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EE</t>
  </si>
  <si>
    <t>jeżeli uzyskano dofinansowanie podać w jakiej kwocie</t>
  </si>
  <si>
    <t>PM10</t>
  </si>
  <si>
    <t>PM2,5</t>
  </si>
  <si>
    <t>rodzaj działania</t>
  </si>
  <si>
    <t>wypełnia się automatycznie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</si>
  <si>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</si>
  <si>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</si>
  <si>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</si>
  <si>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</si>
  <si>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</si>
  <si>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</si>
  <si>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</si>
  <si>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</si>
  <si>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</si>
  <si>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</si>
  <si>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</si>
  <si>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czy pobierać</t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</si>
  <si>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</si>
  <si>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</si>
  <si>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</si>
  <si>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</si>
  <si>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</si>
  <si>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</si>
  <si>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5a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</si>
  <si>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</si>
  <si>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</si>
  <si>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</si>
  <si>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</si>
  <si>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</si>
  <si>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</si>
  <si>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</si>
  <si>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</si>
  <si>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</si>
  <si>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</si>
  <si>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</si>
  <si>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</si>
  <si>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</si>
  <si>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</si>
  <si>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</si>
  <si>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</si>
  <si>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</si>
  <si>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</si>
  <si>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</si>
  <si>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</si>
  <si>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</si>
  <si>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</si>
  <si>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</si>
  <si>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</si>
  <si>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</si>
  <si>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</si>
  <si>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</si>
  <si>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</si>
  <si>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</si>
  <si>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</si>
  <si>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</si>
  <si>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</si>
  <si>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</si>
  <si>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</si>
  <si>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</si>
  <si>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</si>
  <si>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</si>
  <si>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</si>
  <si>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</si>
  <si>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</si>
  <si>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</si>
  <si>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</si>
  <si>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</si>
  <si>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</si>
  <si>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</si>
  <si>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</si>
  <si>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</si>
  <si>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</si>
  <si>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</si>
  <si>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</si>
  <si>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</si>
  <si>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</si>
  <si>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</si>
  <si>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</si>
  <si>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</si>
  <si>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</si>
  <si>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</si>
  <si>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</si>
  <si>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</si>
  <si>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</si>
  <si>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</si>
  <si>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</si>
  <si>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</si>
  <si>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</si>
  <si>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</si>
  <si>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</si>
  <si>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</si>
  <si>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</si>
  <si>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</si>
  <si>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</si>
  <si>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</si>
  <si>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</si>
  <si>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</si>
  <si>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</si>
  <si>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</si>
  <si>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</si>
  <si>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</si>
  <si>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</si>
  <si>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</si>
  <si>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</si>
  <si>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</si>
  <si>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</si>
  <si>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</si>
  <si>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</si>
  <si>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</si>
  <si>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</si>
  <si>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</si>
  <si>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</si>
  <si>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</si>
  <si>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</si>
  <si>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</si>
  <si>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</si>
  <si>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</si>
  <si>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</si>
  <si>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</si>
  <si>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</si>
  <si>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</si>
  <si>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</si>
  <si>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</si>
  <si>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</si>
  <si>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</si>
  <si>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</si>
  <si>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</si>
  <si>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</si>
  <si>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</si>
  <si>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</si>
  <si>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</si>
  <si>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</si>
  <si>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</si>
  <si>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</si>
  <si>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</si>
  <si>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</si>
  <si>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</si>
  <si>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</si>
  <si>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</si>
  <si>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</si>
  <si>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</si>
  <si>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</si>
  <si>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</si>
  <si>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</si>
  <si>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</si>
  <si>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</si>
  <si>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</si>
  <si>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</si>
  <si>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</si>
  <si>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</si>
  <si>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</si>
  <si>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</si>
  <si>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</si>
  <si>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</si>
  <si>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</si>
  <si>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</si>
  <si>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</si>
  <si>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</si>
  <si>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</si>
  <si>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</si>
  <si>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</si>
  <si>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</si>
  <si>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</si>
  <si>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</si>
  <si>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</si>
  <si>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</si>
  <si>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</si>
  <si>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</si>
  <si>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</si>
  <si>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</si>
  <si>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</si>
  <si>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</si>
  <si>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</si>
  <si>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</si>
  <si>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</si>
  <si>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</si>
  <si>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</si>
  <si>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</si>
  <si>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</si>
  <si>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</si>
  <si>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</si>
  <si>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</si>
  <si>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</si>
  <si>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</si>
  <si>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</si>
  <si>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</si>
  <si>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</si>
  <si>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</si>
  <si>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</si>
  <si>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</si>
  <si>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</si>
  <si>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</si>
  <si>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</si>
  <si>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</si>
  <si>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</si>
  <si>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</si>
  <si>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</si>
  <si>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</si>
  <si>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</si>
  <si>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</si>
  <si>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</si>
  <si>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</si>
  <si>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</si>
  <si>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</si>
  <si>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</si>
  <si>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</si>
  <si>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</si>
  <si>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</si>
  <si>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</si>
  <si>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</si>
  <si>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</si>
  <si>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</si>
  <si>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</si>
  <si>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</si>
  <si>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</si>
  <si>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</si>
  <si>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</si>
  <si>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</si>
  <si>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</si>
  <si>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</si>
  <si>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</si>
  <si>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</si>
  <si>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</si>
  <si>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</si>
  <si>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</si>
  <si>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</si>
  <si>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</si>
  <si>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</si>
  <si>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</si>
  <si>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</si>
  <si>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</si>
  <si>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</si>
  <si>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</si>
  <si>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</si>
  <si>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</si>
  <si>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</si>
  <si>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</si>
  <si>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</si>
  <si>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</si>
  <si>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</si>
  <si>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</si>
  <si>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</si>
  <si>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</si>
  <si>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</si>
  <si>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</si>
  <si>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</si>
  <si>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</si>
  <si>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</si>
  <si>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</si>
  <si>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</si>
  <si>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</si>
  <si>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</si>
  <si>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</si>
  <si>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</si>
  <si>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</si>
  <si>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</si>
  <si>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</si>
  <si>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</si>
  <si>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</si>
  <si>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</si>
  <si>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</si>
  <si>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</si>
  <si>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</si>
  <si>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</si>
  <si>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</si>
  <si>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</si>
  <si>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</si>
  <si>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</si>
  <si>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</si>
  <si>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</si>
  <si>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</si>
  <si>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</si>
  <si>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</si>
  <si>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</si>
  <si>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</si>
  <si>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</si>
  <si>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</si>
  <si>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</si>
  <si>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</si>
  <si>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</si>
  <si>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</si>
  <si>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</si>
  <si>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</si>
  <si>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</si>
  <si>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</si>
  <si>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</si>
  <si>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</si>
  <si>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</si>
  <si>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SUMA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</si>
  <si>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</si>
  <si>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</si>
  <si>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</si>
  <si>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</si>
  <si>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</si>
  <si>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</si>
  <si>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</si>
  <si>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</si>
  <si>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</si>
  <si>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</si>
  <si>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</si>
  <si>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</si>
  <si>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Nazwa jednostki lub organizacji przygotowujacej sprawozdanie</t>
  </si>
  <si>
    <t>podać numer drogi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</si>
  <si>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</si>
  <si>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</si>
  <si>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</si>
  <si>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</si>
  <si>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</si>
  <si>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</si>
  <si>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</si>
  <si>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</si>
  <si>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</si>
  <si>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</si>
  <si>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</si>
  <si>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</si>
  <si>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</si>
  <si>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</si>
  <si>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</si>
  <si>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</si>
  <si>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</si>
  <si>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</si>
  <si>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</si>
  <si>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</si>
  <si>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</si>
  <si>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</si>
  <si>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</si>
  <si>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</si>
  <si>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</si>
  <si>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</si>
  <si>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</si>
  <si>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</si>
  <si>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</si>
  <si>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</si>
  <si>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</si>
  <si>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</si>
  <si>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</si>
  <si>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</si>
  <si>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</si>
  <si>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</si>
  <si>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nie dotyczy</t>
  </si>
  <si>
    <t>tab.1_ZSO_gminy</t>
  </si>
  <si>
    <t>tab.1_ZSO_powiaty</t>
  </si>
  <si>
    <t>tab.2_EE_gminy</t>
  </si>
  <si>
    <t>tab.3_KPP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</si>
  <si>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</si>
  <si>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</si>
  <si>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</si>
  <si>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</si>
  <si>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</si>
  <si>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</si>
  <si>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</si>
  <si>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</si>
  <si>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</si>
  <si>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</si>
  <si>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</si>
  <si>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Opis - wypełniają zarządcy dróg</t>
  </si>
  <si>
    <t>wypełniają zarządcy dróg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</si>
  <si>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gminy</t>
    </r>
  </si>
  <si>
    <t>proszę wybrać z listy rozwijanej powiat, na terenie którego wybudowano drogę</t>
  </si>
  <si>
    <t>Opis - wypełniają organizacje lub jednostki prowadzące edukację</t>
  </si>
  <si>
    <t>wypełniają prowadzący edukację</t>
  </si>
  <si>
    <t>tab.1_ZSO_zarządcy</t>
  </si>
  <si>
    <t>informacje szczegółowe o realizacji zadań związanych z ograniczeniem emisji z sektora komunalno-bytowego (ZSO) przez właścicieli lub zarządzających nieruchomościami, budynkami, lokalami</t>
  </si>
  <si>
    <t>Tabela 4. Sprawozdanie z realizacji zadań związanych z budową obwodnic miast ujętych w harmonogramie realizacji POP</t>
  </si>
  <si>
    <r>
      <t xml:space="preserve">opisać prowadzone w ramach realizacji POP działania
</t>
    </r>
    <r>
      <rPr>
        <b/>
        <i/>
        <sz val="8"/>
        <color rgb="FFFF0000"/>
        <rFont val="Calibri"/>
        <family val="2"/>
        <charset val="238"/>
      </rPr>
      <t>(do sprawozdania z POP mogą być podawane inwestycje związane tylko z budową obwodnic miast)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</si>
  <si>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</si>
  <si>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</si>
  <si>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</si>
  <si>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</si>
  <si>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</si>
  <si>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</si>
  <si>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</si>
  <si>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</si>
  <si>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Tabela dotyczy miasta Kielce oraz gmin miejskich i miejsko-wiejskich</t>
  </si>
  <si>
    <t>Powiaty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</si>
  <si>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</si>
  <si>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</si>
  <si>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</si>
  <si>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</si>
  <si>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</si>
  <si>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</si>
  <si>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przez gminy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</si>
  <si>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przez gminy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</si>
  <si>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 i powiaty)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</si>
  <si>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</si>
  <si>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t>zgodnie z uchwałą Nr LXIV/798/23 Sejmiku Województwa Świętokrzyskiego z dnia 25 września 2023 roku</t>
  </si>
  <si>
    <t>wskazać źródła finansowania działania, wskazując wysokość dofinansowania dla poszczególnych źródeł</t>
  </si>
  <si>
    <t>podać liczbę km</t>
  </si>
  <si>
    <t>tab.1_ZSO_zarządcy i właściciele nieruchomości</t>
  </si>
  <si>
    <t>wypełniają zarządcy i właściciele nieruchomości</t>
  </si>
  <si>
    <t>wskaźnik monitorowania postępu</t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</si>
  <si>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</si>
  <si>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r>
      <t>numer drogi</t>
    </r>
    <r>
      <rPr>
        <b/>
        <sz val="9"/>
        <color rgb="FFFF0000"/>
        <rFont val="Calibri"/>
        <family val="2"/>
        <charset val="238"/>
      </rPr>
      <t>*</t>
    </r>
  </si>
  <si>
    <r>
      <t>nazwa powiatu</t>
    </r>
    <r>
      <rPr>
        <b/>
        <sz val="9"/>
        <color rgb="FFFF0000"/>
        <rFont val="Calibri"/>
        <family val="2"/>
        <charset val="238"/>
      </rPr>
      <t>*</t>
    </r>
  </si>
  <si>
    <r>
      <t>liczba wybudowanych dróg w danym roku sprawozdawczym [km]</t>
    </r>
    <r>
      <rPr>
        <b/>
        <sz val="9"/>
        <color rgb="FFFF0000"/>
        <rFont val="Calibri"/>
        <family val="2"/>
        <charset val="238"/>
      </rPr>
      <t>*</t>
    </r>
  </si>
  <si>
    <r>
      <t>koszty poniesione w danym roku sprawozdawczym [zł/rok]</t>
    </r>
    <r>
      <rPr>
        <b/>
        <sz val="9"/>
        <color rgb="FFFF0000"/>
        <rFont val="Calibri"/>
        <family val="2"/>
        <charset val="238"/>
      </rPr>
      <t>*</t>
    </r>
  </si>
  <si>
    <r>
      <t>w tym wysokość dofinansowania zewnętrznego uzyskanego w danym roku sprawozdawczym [zł/rok]</t>
    </r>
    <r>
      <rPr>
        <b/>
        <sz val="9"/>
        <color rgb="FFFF0000"/>
        <rFont val="Calibri"/>
        <family val="2"/>
        <charset val="238"/>
      </rPr>
      <t>*</t>
    </r>
  </si>
  <si>
    <r>
      <t>opis realizacji zadania w roku sprawozdawczym</t>
    </r>
    <r>
      <rPr>
        <sz val="9"/>
        <color rgb="FF000000"/>
        <rFont val="Calibri"/>
        <family val="2"/>
        <charset val="238"/>
      </rPr>
      <t xml:space="preserve"> 
</t>
    </r>
    <r>
      <rPr>
        <b/>
        <sz val="9"/>
        <color rgb="FF000000"/>
        <rFont val="Calibri"/>
        <family val="2"/>
        <charset val="238"/>
      </rPr>
      <t>(wraz z nazwą miasta, którego dotyczy)</t>
    </r>
    <r>
      <rPr>
        <b/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</si>
  <si>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</si>
  <si>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</si>
  <si>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</si>
  <si>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informacje ogólne - wypełniane przez JST</t>
  </si>
  <si>
    <r>
      <t>Nazwa jednostki lub organizacji przygotowującej sprawozdanie</t>
    </r>
    <r>
      <rPr>
        <b/>
        <sz val="9"/>
        <color rgb="FFFF0000"/>
        <rFont val="Calibri"/>
        <family val="2"/>
        <charset val="238"/>
      </rPr>
      <t>*</t>
    </r>
  </si>
  <si>
    <t>Arkusz służy do przygotowania rocznego sprawozdania z realizacji zadań zawartych w "Aktualizacji Programu ochrony powietrza dla województwa świętokrzyskiego wraz z planem działań krótkoterminowych"</t>
  </si>
  <si>
    <t>informacje ogólne - część wypełniana przez zarządców dróg</t>
  </si>
  <si>
    <t>Obszar gminy, na którym jednostka podejmowała działania</t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</si>
  <si>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</t>
    </r>
    <r>
      <rPr>
        <b/>
        <sz val="12"/>
        <color rgb="FF00B050"/>
        <rFont val="Calibri"/>
        <family val="2"/>
        <charset val="238"/>
      </rPr>
      <t>Ochrona.Powietrza@sejmik.kielce.pl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</si>
</sst>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zł&quot;"/>
    <numFmt numFmtId="165" formatCode="#,##0.000"/>
    <numFmt numFmtId="166" formatCode="0.0"/>
    <numFmt numFmtId="167" formatCode="0.0000"/>
    <numFmt numFmtId="168" formatCode="#,##0.00000"/>
  </numFmts>
  <fonts count="39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8"/>
      <color rgb="FFFF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b/>
      <u/>
      <sz val="11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color rgb="FF00B05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7" borderId="7">
      <alignment horizontal="left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15" fillId="0" borderId="0" xfId="3" applyAlignment="1" applyProtection="1">
      <alignment vertical="center"/>
    </xf>
    <xf numFmtId="0" fontId="8" fillId="5" borderId="1" xfId="0" applyFont="1" applyFill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7" fillId="5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 applyProtection="1">
      <alignment horizontal="left" vertical="center"/>
      <protection locked="0"/>
    </xf>
    <xf numFmtId="0" fontId="8" fillId="10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9" fillId="4" borderId="1" xfId="0" applyFont="1" applyFill="1" applyBorder="1" applyAlignment="1">
      <alignment vertical="center"/>
    </xf>
    <xf numFmtId="164" fontId="19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0" xfId="0" applyNumberFormat="1" applyFont="1" applyBorder="1" applyAlignment="1">
      <alignment vertical="center"/>
    </xf>
    <xf numFmtId="1" fontId="4" fillId="8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0" fillId="0" borderId="0" xfId="3" applyFont="1" applyAlignment="1" applyProtection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30" fillId="14" borderId="0" xfId="3" applyFont="1" applyFill="1" applyAlignment="1" applyProtection="1">
      <alignment vertical="center"/>
    </xf>
    <xf numFmtId="0" fontId="29" fillId="14" borderId="0" xfId="0" applyFont="1" applyFill="1" applyAlignment="1">
      <alignment vertical="center"/>
    </xf>
    <xf numFmtId="0" fontId="36" fillId="0" borderId="0" xfId="3" applyFont="1" applyFill="1" applyAlignment="1" applyProtection="1">
      <alignment vertical="center"/>
    </xf>
    <xf numFmtId="0" fontId="37" fillId="0" borderId="0" xfId="0" applyFont="1" applyFill="1" applyAlignment="1">
      <alignment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4" fillId="11" borderId="0" xfId="0" applyFont="1" applyFill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19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4">
    <cellStyle name="Hiperłącze" xfId="3" builtinId="8"/>
    <cellStyle name="Kolumna" xfId="2"/>
    <cellStyle name="Normalny" xfId="0" builtinId="0"/>
    <cellStyle name="Normalny 2" xfId="1"/>
  </cellStyles>
  <dxfs count="58"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CC"/>
      <color rgb="FFD6E1EE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" name="powiaty_26" displayName="powiaty_26" ref="A2:F16" totalsRowShown="0" headerRowDxfId="57" headerRowBorderDxfId="56" tableBorderDxfId="55">
  <autoFilter ref="A2:F16"/>
  <tableColumns count="6">
    <tableColumn id="1" name="kod powiatu" dataDxfId="54" dataCellStyle="Normalny 2"/>
    <tableColumn id="2" name="powiat" dataDxfId="53" dataCellStyle="Normalny 2"/>
    <tableColumn id="6" name="kod powiatu2" dataDxfId="52" dataCellStyle="Normalny 2">
      <calculatedColumnFormula>powiaty_26[[#This Row],[kod powiatu]]</calculatedColumnFormula>
    </tableColumn>
    <tableColumn id="4" name="kod strefy" dataDxfId="51" dataCellStyle="Normalny 2"/>
    <tableColumn id="5" name="nazwa strefy" dataDxfId="50" dataCellStyle="Normalny 2">
      <calculatedColumnFormula>VLOOKUP(powiaty_26[[#This Row],[kod strefy]],strefy_26[],2,FALSE)</calculatedColumnFormula>
    </tableColumn>
    <tableColumn id="3" name="województwo" dataDxfId="49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strefy_26" displayName="strefy_26" ref="H2:K4" totalsRowShown="0" headerRowDxfId="48" dataDxfId="46" headerRowBorderDxfId="47" tableBorderDxfId="45">
  <autoFilter ref="H2:K4"/>
  <tableColumns count="4">
    <tableColumn id="1" name="kod strefy" dataDxfId="44"/>
    <tableColumn id="2" name="nazwa strefy" dataDxfId="43"/>
    <tableColumn id="3" name="województo" dataDxfId="42"/>
    <tableColumn id="4" name="do tabel sprawozdawczych" dataDxfId="41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4" name="kat_zadania" displayName="kat_zadania" ref="M2:N10" totalsRowShown="0" headerRowDxfId="40" dataDxfId="38" headerRowBorderDxfId="39" tableBorderDxfId="37">
  <autoFilter ref="M2:N10"/>
  <tableColumns count="2">
    <tableColumn id="1" name="kod zadania" dataDxfId="36"/>
    <tableColumn id="2" name="nazwa zadania" dataDxfId="35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" name="gminy_26" displayName="gminy_26" ref="A3:Q105" totalsRowShown="0" headerRowDxfId="30" dataDxfId="28" headerRowBorderDxfId="29" tableBorderDxfId="27">
  <autoFilter ref="A3:Q105">
    <filterColumn colId="4">
      <filters>
        <filter val="kielecki"/>
      </filters>
    </filterColumn>
  </autoFilter>
  <tableColumns count="17">
    <tableColumn id="1" name="kod gminy" dataDxfId="26"/>
    <tableColumn id="2" name="nazwa gminy" dataDxfId="25"/>
    <tableColumn id="15" name="kod gminy2" dataDxfId="24">
      <calculatedColumnFormula>gminy_26[[#This Row],[kod gminy]]</calculatedColumnFormula>
    </tableColumn>
    <tableColumn id="3" name="kod powiatu" dataDxfId="23"/>
    <tableColumn id="4" name="nazwa powiatu" dataDxfId="22">
      <calculatedColumnFormula>VLOOKUP(gminy_26[[#This Row],[kod powiatu]],powiaty_26[],katalogi!$B$1,FALSE)</calculatedColumnFormula>
    </tableColumn>
    <tableColumn id="5" name="kod strefy" dataDxfId="21"/>
    <tableColumn id="6" name="nazwa strefy" dataDxfId="20">
      <calculatedColumnFormula>VLOOKUP(gminy_26[[#This Row],[kod strefy]],strefy_26[],2,FALSE)</calculatedColumnFormula>
    </tableColumn>
    <tableColumn id="7" name="ogółem" dataDxfId="19"/>
    <tableColumn id="8" name="2020" dataDxfId="18"/>
    <tableColumn id="9" name="2021" dataDxfId="17"/>
    <tableColumn id="10" name="2022" dataDxfId="16"/>
    <tableColumn id="11" name="2023" dataDxfId="15"/>
    <tableColumn id="12" name="2024" dataDxfId="14"/>
    <tableColumn id="13" name="2025" dataDxfId="13"/>
    <tableColumn id="16" name="2026" dataDxfId="12"/>
    <tableColumn id="17" name="EE" dataDxfId="11"/>
    <tableColumn id="14" name="KPP" dataDxfId="10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5" name="kat_wsk_efektu" displayName="kat_wsk_efektu" ref="A4:E16" totalsRowShown="0" headerRowDxfId="9" headerRowBorderDxfId="8" tableBorderDxfId="7" totalsRowBorderDxfId="6">
  <autoFilter ref="A4:E16"/>
  <tableColumns count="5">
    <tableColumn id="1" name="kod_efektu" dataDxfId="5"/>
    <tableColumn id="2" name="opis" dataDxfId="4"/>
    <tableColumn id="3" name="PM10" dataDxfId="3"/>
    <tableColumn id="4" name="PM2,5" dataDxfId="2"/>
    <tableColumn id="5" name="BaP" dataDxfId="1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3">
        <v>1</v>
      </c>
      <c r="B1" s="33">
        <f>A1+1</f>
        <v>2</v>
      </c>
      <c r="C1" s="33">
        <f t="shared" ref="C1:D1" si="0">B1+1</f>
        <v>3</v>
      </c>
      <c r="D1" s="33">
        <f t="shared" si="0"/>
        <v>4</v>
      </c>
      <c r="E1" s="33">
        <f t="shared" ref="E1:F1" si="1">D1+1</f>
        <v>5</v>
      </c>
      <c r="F1" s="33">
        <f t="shared" si="1"/>
        <v>6</v>
      </c>
      <c r="G1" s="33">
        <f t="shared" ref="G1:K1" si="2">F1+1</f>
        <v>7</v>
      </c>
      <c r="H1" s="33">
        <f t="shared" si="2"/>
        <v>8</v>
      </c>
      <c r="I1" s="33">
        <f t="shared" si="2"/>
        <v>9</v>
      </c>
      <c r="J1" s="33">
        <f t="shared" si="2"/>
        <v>10</v>
      </c>
      <c r="K1" s="33">
        <f t="shared" si="2"/>
        <v>11</v>
      </c>
      <c r="L1" s="33">
        <f t="shared" ref="L1" si="3">K1+1</f>
        <v>12</v>
      </c>
      <c r="M1" s="33">
        <f t="shared" ref="M1" si="4">L1+1</f>
        <v>13</v>
      </c>
      <c r="N1" s="33">
        <f t="shared" ref="N1" si="5">M1+1</f>
        <v>14</v>
      </c>
      <c r="O1" s="33">
        <f t="shared" ref="O1" si="6">N1+1</f>
        <v>15</v>
      </c>
    </row>
    <row r="2" spans="1:15" x14ac:dyDescent="0.2">
      <c r="A2" s="34" t="s">
        <v>292</v>
      </c>
      <c r="B2" s="34" t="s">
        <v>0</v>
      </c>
      <c r="C2" s="34" t="s">
        <v>306</v>
      </c>
      <c r="D2" s="34" t="s">
        <v>2</v>
      </c>
      <c r="E2" s="34" t="s">
        <v>3</v>
      </c>
      <c r="F2" s="34" t="s">
        <v>1</v>
      </c>
      <c r="H2" s="34" t="s">
        <v>2</v>
      </c>
      <c r="I2" s="34" t="s">
        <v>3</v>
      </c>
      <c r="J2" s="34" t="s">
        <v>4</v>
      </c>
      <c r="K2" s="34" t="s">
        <v>11</v>
      </c>
      <c r="M2" s="36" t="s">
        <v>18</v>
      </c>
      <c r="N2" s="36" t="s">
        <v>311</v>
      </c>
    </row>
    <row r="3" spans="1:15" x14ac:dyDescent="0.2">
      <c r="A3" s="6" t="s">
        <v>54</v>
      </c>
      <c r="B3" s="5" t="s">
        <v>68</v>
      </c>
      <c r="C3" s="5" t="str">
        <f>powiaty_26[[#This Row],[kod powiatu]]</f>
        <v>2601</v>
      </c>
      <c r="D3" s="5" t="s">
        <v>52</v>
      </c>
      <c r="E3" s="5" t="str">
        <f>VLOOKUP(powiaty_26[[#This Row],[kod strefy]],strefy_26[],2,FALSE)</f>
        <v>strefa świętokrzyska</v>
      </c>
      <c r="F3" s="1" t="s">
        <v>48</v>
      </c>
      <c r="H3" s="4" t="s">
        <v>50</v>
      </c>
      <c r="I3" s="4" t="s">
        <v>51</v>
      </c>
      <c r="J3" s="2" t="s">
        <v>48</v>
      </c>
      <c r="K3" s="1" t="str">
        <f>CONCATENATE(I3," ",H3)</f>
        <v>miasto Kielce PL2601</v>
      </c>
      <c r="M3" s="1" t="s">
        <v>81</v>
      </c>
      <c r="N3" s="1" t="s">
        <v>22</v>
      </c>
    </row>
    <row r="4" spans="1:15" x14ac:dyDescent="0.2">
      <c r="A4" s="6" t="s">
        <v>55</v>
      </c>
      <c r="B4" s="5" t="s">
        <v>69</v>
      </c>
      <c r="C4" s="5" t="str">
        <f>powiaty_26[[#This Row],[kod powiatu]]</f>
        <v>2602</v>
      </c>
      <c r="D4" s="5" t="s">
        <v>52</v>
      </c>
      <c r="E4" s="5" t="str">
        <f>VLOOKUP(powiaty_26[[#This Row],[kod strefy]],strefy_26[],2,FALSE)</f>
        <v>strefa świętokrzyska</v>
      </c>
      <c r="F4" s="1" t="s">
        <v>48</v>
      </c>
      <c r="H4" s="4" t="s">
        <v>52</v>
      </c>
      <c r="I4" s="4" t="s">
        <v>53</v>
      </c>
      <c r="J4" s="2" t="s">
        <v>48</v>
      </c>
      <c r="K4" s="1" t="str">
        <f t="shared" ref="K4" si="7">CONCATENATE(I4," ",H4)</f>
        <v>strefa świętokrzyska PL2602</v>
      </c>
      <c r="M4" s="1" t="s">
        <v>83</v>
      </c>
      <c r="N4" s="1" t="s">
        <v>389</v>
      </c>
    </row>
    <row r="5" spans="1:15" x14ac:dyDescent="0.2">
      <c r="A5" s="6" t="s">
        <v>56</v>
      </c>
      <c r="B5" s="5" t="s">
        <v>70</v>
      </c>
      <c r="C5" s="5" t="str">
        <f>powiaty_26[[#This Row],[kod powiatu]]</f>
        <v>2603</v>
      </c>
      <c r="D5" s="5" t="s">
        <v>52</v>
      </c>
      <c r="E5" s="5" t="str">
        <f>VLOOKUP(powiaty_26[[#This Row],[kod strefy]],strefy_26[],2,FALSE)</f>
        <v>strefa świętokrzyska</v>
      </c>
      <c r="F5" s="1" t="s">
        <v>48</v>
      </c>
      <c r="H5" s="2"/>
      <c r="I5" s="2"/>
      <c r="J5" s="2"/>
      <c r="M5" s="1" t="s">
        <v>85</v>
      </c>
      <c r="N5" s="1" t="s">
        <v>89</v>
      </c>
    </row>
    <row r="6" spans="1:15" x14ac:dyDescent="0.2">
      <c r="A6" s="6" t="s">
        <v>57</v>
      </c>
      <c r="B6" s="5" t="s">
        <v>71</v>
      </c>
      <c r="C6" s="5" t="str">
        <f>powiaty_26[[#This Row],[kod powiatu]]</f>
        <v>2604</v>
      </c>
      <c r="D6" s="5" t="s">
        <v>52</v>
      </c>
      <c r="E6" s="5" t="str">
        <f>VLOOKUP(powiaty_26[[#This Row],[kod strefy]],strefy_26[],2,FALSE)</f>
        <v>strefa świętokrzyska</v>
      </c>
      <c r="F6" s="1" t="s">
        <v>48</v>
      </c>
      <c r="H6" s="2"/>
      <c r="I6" s="2"/>
      <c r="J6" s="2"/>
      <c r="M6" s="1" t="s">
        <v>87</v>
      </c>
      <c r="N6" s="1" t="s">
        <v>90</v>
      </c>
    </row>
    <row r="7" spans="1:15" x14ac:dyDescent="0.2">
      <c r="A7" s="6" t="s">
        <v>58</v>
      </c>
      <c r="B7" s="5" t="s">
        <v>72</v>
      </c>
      <c r="C7" s="5" t="str">
        <f>powiaty_26[[#This Row],[kod powiatu]]</f>
        <v>2605</v>
      </c>
      <c r="D7" s="5" t="s">
        <v>52</v>
      </c>
      <c r="E7" s="5" t="str">
        <f>VLOOKUP(powiaty_26[[#This Row],[kod strefy]],strefy_26[],2,FALSE)</f>
        <v>strefa świętokrzyska</v>
      </c>
      <c r="F7" s="1" t="s">
        <v>48</v>
      </c>
      <c r="H7" s="2"/>
      <c r="I7" s="2"/>
      <c r="J7" s="2"/>
      <c r="M7" s="1" t="s">
        <v>82</v>
      </c>
      <c r="N7" s="1" t="s">
        <v>22</v>
      </c>
    </row>
    <row r="8" spans="1:15" x14ac:dyDescent="0.2">
      <c r="A8" s="6" t="s">
        <v>59</v>
      </c>
      <c r="B8" s="5" t="s">
        <v>73</v>
      </c>
      <c r="C8" s="5" t="str">
        <f>powiaty_26[[#This Row],[kod powiatu]]</f>
        <v>2606</v>
      </c>
      <c r="D8" s="5" t="s">
        <v>52</v>
      </c>
      <c r="E8" s="5" t="str">
        <f>VLOOKUP(powiaty_26[[#This Row],[kod strefy]],strefy_26[],2,FALSE)</f>
        <v>strefa świętokrzyska</v>
      </c>
      <c r="F8" s="1" t="s">
        <v>48</v>
      </c>
      <c r="H8" s="4"/>
      <c r="I8" s="4"/>
      <c r="J8" s="2"/>
      <c r="M8" s="1" t="s">
        <v>84</v>
      </c>
      <c r="N8" s="1" t="s">
        <v>389</v>
      </c>
    </row>
    <row r="9" spans="1:15" x14ac:dyDescent="0.2">
      <c r="A9" s="6" t="s">
        <v>60</v>
      </c>
      <c r="B9" s="5" t="s">
        <v>74</v>
      </c>
      <c r="C9" s="5" t="str">
        <f>powiaty_26[[#This Row],[kod powiatu]]</f>
        <v>2607</v>
      </c>
      <c r="D9" s="5" t="s">
        <v>52</v>
      </c>
      <c r="E9" s="5" t="str">
        <f>VLOOKUP(powiaty_26[[#This Row],[kod strefy]],strefy_26[],2,FALSE)</f>
        <v>strefa świętokrzyska</v>
      </c>
      <c r="F9" s="1" t="s">
        <v>48</v>
      </c>
      <c r="H9" s="4"/>
      <c r="I9" s="4"/>
      <c r="J9" s="2"/>
      <c r="M9" s="1" t="s">
        <v>86</v>
      </c>
      <c r="N9" s="1" t="s">
        <v>89</v>
      </c>
    </row>
    <row r="10" spans="1:15" x14ac:dyDescent="0.2">
      <c r="A10" s="6" t="s">
        <v>61</v>
      </c>
      <c r="B10" s="5" t="s">
        <v>75</v>
      </c>
      <c r="C10" s="5" t="str">
        <f>powiaty_26[[#This Row],[kod powiatu]]</f>
        <v>2608</v>
      </c>
      <c r="D10" s="5" t="s">
        <v>52</v>
      </c>
      <c r="E10" s="5" t="str">
        <f>VLOOKUP(powiaty_26[[#This Row],[kod strefy]],strefy_26[],2,FALSE)</f>
        <v>strefa świętokrzyska</v>
      </c>
      <c r="F10" s="1" t="s">
        <v>48</v>
      </c>
      <c r="H10" s="4"/>
      <c r="I10" s="4"/>
      <c r="J10" s="2"/>
      <c r="M10" s="1" t="s">
        <v>88</v>
      </c>
      <c r="N10" s="1" t="s">
        <v>90</v>
      </c>
    </row>
    <row r="11" spans="1:15" x14ac:dyDescent="0.2">
      <c r="A11" s="6" t="s">
        <v>62</v>
      </c>
      <c r="B11" s="5" t="s">
        <v>76</v>
      </c>
      <c r="C11" s="5" t="str">
        <f>powiaty_26[[#This Row],[kod powiatu]]</f>
        <v>2609</v>
      </c>
      <c r="D11" s="5" t="s">
        <v>52</v>
      </c>
      <c r="E11" s="5" t="str">
        <f>VLOOKUP(powiaty_26[[#This Row],[kod strefy]],strefy_26[],2,FALSE)</f>
        <v>strefa świętokrzyska</v>
      </c>
      <c r="F11" s="1" t="s">
        <v>48</v>
      </c>
      <c r="H11" s="4"/>
      <c r="I11" s="4"/>
      <c r="J11" s="2"/>
    </row>
    <row r="12" spans="1:15" x14ac:dyDescent="0.2">
      <c r="A12" s="6" t="s">
        <v>63</v>
      </c>
      <c r="B12" s="5" t="s">
        <v>77</v>
      </c>
      <c r="C12" s="5" t="str">
        <f>powiaty_26[[#This Row],[kod powiatu]]</f>
        <v>2610</v>
      </c>
      <c r="D12" s="5" t="s">
        <v>52</v>
      </c>
      <c r="E12" s="5" t="str">
        <f>VLOOKUP(powiaty_26[[#This Row],[kod strefy]],strefy_26[],2,FALSE)</f>
        <v>strefa świętokrzyska</v>
      </c>
      <c r="F12" s="1" t="s">
        <v>48</v>
      </c>
      <c r="H12" s="4"/>
      <c r="I12" s="4"/>
      <c r="J12" s="2"/>
    </row>
    <row r="13" spans="1:15" x14ac:dyDescent="0.2">
      <c r="A13" s="6" t="s">
        <v>64</v>
      </c>
      <c r="B13" s="5" t="s">
        <v>78</v>
      </c>
      <c r="C13" s="5" t="str">
        <f>powiaty_26[[#This Row],[kod powiatu]]</f>
        <v>2611</v>
      </c>
      <c r="D13" s="5" t="s">
        <v>52</v>
      </c>
      <c r="E13" s="5" t="str">
        <f>VLOOKUP(powiaty_26[[#This Row],[kod strefy]],strefy_26[],2,FALSE)</f>
        <v>strefa świętokrzyska</v>
      </c>
      <c r="F13" s="1" t="s">
        <v>48</v>
      </c>
      <c r="H13" s="4"/>
      <c r="I13" s="4"/>
      <c r="J13" s="2"/>
    </row>
    <row r="14" spans="1:15" x14ac:dyDescent="0.2">
      <c r="A14" s="6" t="s">
        <v>65</v>
      </c>
      <c r="B14" s="5" t="s">
        <v>79</v>
      </c>
      <c r="C14" s="5" t="str">
        <f>powiaty_26[[#This Row],[kod powiatu]]</f>
        <v>2612</v>
      </c>
      <c r="D14" s="5" t="s">
        <v>52</v>
      </c>
      <c r="E14" s="5" t="str">
        <f>VLOOKUP(powiaty_26[[#This Row],[kod strefy]],strefy_26[],2,FALSE)</f>
        <v>strefa świętokrzyska</v>
      </c>
      <c r="F14" s="1" t="s">
        <v>48</v>
      </c>
      <c r="H14" s="4"/>
      <c r="I14" s="4"/>
      <c r="J14" s="2"/>
    </row>
    <row r="15" spans="1:15" x14ac:dyDescent="0.2">
      <c r="A15" s="6" t="s">
        <v>66</v>
      </c>
      <c r="B15" s="5" t="s">
        <v>80</v>
      </c>
      <c r="C15" s="5" t="str">
        <f>powiaty_26[[#This Row],[kod powiatu]]</f>
        <v>2613</v>
      </c>
      <c r="D15" s="5" t="s">
        <v>52</v>
      </c>
      <c r="E15" s="5" t="str">
        <f>VLOOKUP(powiaty_26[[#This Row],[kod strefy]],strefy_26[],2,FALSE)</f>
        <v>strefa świętokrzyska</v>
      </c>
      <c r="F15" s="1" t="s">
        <v>48</v>
      </c>
      <c r="H15" s="2"/>
      <c r="I15" s="2"/>
      <c r="J15" s="2"/>
    </row>
    <row r="16" spans="1:15" x14ac:dyDescent="0.2">
      <c r="A16" s="6" t="s">
        <v>67</v>
      </c>
      <c r="B16" s="5" t="s">
        <v>291</v>
      </c>
      <c r="C16" s="5" t="str">
        <f>powiaty_26[[#This Row],[kod powiatu]]</f>
        <v>2661</v>
      </c>
      <c r="D16" s="5" t="s">
        <v>50</v>
      </c>
      <c r="E16" s="5" t="str">
        <f>VLOOKUP(powiaty_26[[#This Row],[kod strefy]],strefy_26[],2,FALSE)</f>
        <v>miasto Kielce</v>
      </c>
      <c r="F16" s="1" t="s">
        <v>48</v>
      </c>
      <c r="H16" s="2"/>
      <c r="I16" s="2"/>
      <c r="J16" s="2"/>
    </row>
  </sheetData>
  <phoneticPr fontId="21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S108" sqref="S108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3">
        <v>1</v>
      </c>
      <c r="B1" s="33">
        <f t="shared" ref="B1:Q1" si="0">A1+1</f>
        <v>2</v>
      </c>
      <c r="C1" s="33">
        <f t="shared" si="0"/>
        <v>3</v>
      </c>
      <c r="D1" s="33">
        <f t="shared" si="0"/>
        <v>4</v>
      </c>
      <c r="E1" s="33">
        <f t="shared" si="0"/>
        <v>5</v>
      </c>
      <c r="F1" s="33">
        <f t="shared" si="0"/>
        <v>6</v>
      </c>
      <c r="G1" s="33">
        <f t="shared" si="0"/>
        <v>7</v>
      </c>
      <c r="H1" s="33">
        <f t="shared" si="0"/>
        <v>8</v>
      </c>
      <c r="I1" s="33">
        <f t="shared" si="0"/>
        <v>9</v>
      </c>
      <c r="J1" s="33">
        <f t="shared" si="0"/>
        <v>10</v>
      </c>
      <c r="K1" s="33">
        <f t="shared" si="0"/>
        <v>11</v>
      </c>
      <c r="L1" s="33">
        <f t="shared" si="0"/>
        <v>12</v>
      </c>
      <c r="M1" s="33">
        <f t="shared" si="0"/>
        <v>13</v>
      </c>
      <c r="N1" s="33">
        <f t="shared" si="0"/>
        <v>14</v>
      </c>
      <c r="O1" s="33">
        <f t="shared" si="0"/>
        <v>15</v>
      </c>
      <c r="P1" s="33">
        <f t="shared" si="0"/>
        <v>16</v>
      </c>
      <c r="Q1" s="33">
        <f t="shared" si="0"/>
        <v>17</v>
      </c>
      <c r="R1" s="33">
        <f t="shared" ref="R1" si="1">Q1+1</f>
        <v>18</v>
      </c>
      <c r="S1" s="33">
        <f t="shared" ref="S1" si="2">R1+1</f>
        <v>19</v>
      </c>
      <c r="T1" s="33">
        <f t="shared" ref="T1" si="3">S1+1</f>
        <v>20</v>
      </c>
      <c r="U1" s="33">
        <f t="shared" ref="U1" si="4">T1+1</f>
        <v>21</v>
      </c>
      <c r="V1" s="33">
        <f t="shared" ref="V1" si="5">U1+1</f>
        <v>22</v>
      </c>
      <c r="W1" s="33">
        <f t="shared" ref="W1" si="6">V1+1</f>
        <v>23</v>
      </c>
      <c r="X1" s="33">
        <f t="shared" ref="X1" si="7">W1+1</f>
        <v>24</v>
      </c>
      <c r="Y1" s="33">
        <f t="shared" ref="Y1" si="8">X1+1</f>
        <v>25</v>
      </c>
      <c r="Z1" s="33">
        <f t="shared" ref="Z1" si="9">Y1+1</f>
        <v>26</v>
      </c>
    </row>
    <row r="2" spans="1:26" ht="40.15" customHeight="1" x14ac:dyDescent="0.2">
      <c r="H2" s="97" t="s">
        <v>307</v>
      </c>
      <c r="I2" s="98"/>
      <c r="J2" s="98"/>
      <c r="K2" s="98"/>
      <c r="L2" s="98"/>
      <c r="M2" s="98"/>
      <c r="N2" s="98"/>
      <c r="O2" s="99"/>
      <c r="P2" s="49" t="s">
        <v>309</v>
      </c>
      <c r="Q2" s="49" t="s">
        <v>310</v>
      </c>
      <c r="S2" s="71" t="s">
        <v>292</v>
      </c>
      <c r="T2" s="68">
        <v>2020</v>
      </c>
      <c r="U2" s="68">
        <v>2021</v>
      </c>
      <c r="V2" s="68">
        <v>2022</v>
      </c>
      <c r="W2" s="68">
        <v>2023</v>
      </c>
      <c r="X2" s="68">
        <v>2024</v>
      </c>
      <c r="Y2" s="68">
        <v>2025</v>
      </c>
      <c r="Z2" s="68">
        <v>2026</v>
      </c>
    </row>
    <row r="3" spans="1:26" x14ac:dyDescent="0.2">
      <c r="A3" s="36" t="s">
        <v>6</v>
      </c>
      <c r="B3" s="36" t="s">
        <v>5</v>
      </c>
      <c r="C3" s="36" t="s">
        <v>305</v>
      </c>
      <c r="D3" s="36" t="s">
        <v>292</v>
      </c>
      <c r="E3" s="36" t="s">
        <v>293</v>
      </c>
      <c r="F3" s="36" t="s">
        <v>2</v>
      </c>
      <c r="G3" s="36" t="s">
        <v>3</v>
      </c>
      <c r="H3" s="37" t="s">
        <v>294</v>
      </c>
      <c r="I3" s="37" t="s">
        <v>295</v>
      </c>
      <c r="J3" s="37" t="s">
        <v>296</v>
      </c>
      <c r="K3" s="37" t="s">
        <v>297</v>
      </c>
      <c r="L3" s="37" t="s">
        <v>298</v>
      </c>
      <c r="M3" s="37" t="s">
        <v>299</v>
      </c>
      <c r="N3" s="37" t="s">
        <v>300</v>
      </c>
      <c r="O3" s="38" t="s">
        <v>301</v>
      </c>
      <c r="P3" s="38" t="s">
        <v>23</v>
      </c>
      <c r="Q3" s="38" t="s">
        <v>308</v>
      </c>
      <c r="S3" s="72"/>
      <c r="T3" s="70">
        <f>I$1</f>
        <v>9</v>
      </c>
      <c r="U3" s="70">
        <f t="shared" ref="U3:Z3" si="10">J$1</f>
        <v>10</v>
      </c>
      <c r="V3" s="70">
        <f t="shared" si="10"/>
        <v>11</v>
      </c>
      <c r="W3" s="70">
        <f t="shared" si="10"/>
        <v>12</v>
      </c>
      <c r="X3" s="70">
        <f t="shared" si="10"/>
        <v>13</v>
      </c>
      <c r="Y3" s="70">
        <f t="shared" si="10"/>
        <v>14</v>
      </c>
      <c r="Z3" s="70">
        <f t="shared" si="10"/>
        <v>15</v>
      </c>
    </row>
    <row r="4" spans="1:26" hidden="1" x14ac:dyDescent="0.2">
      <c r="A4" s="1" t="s">
        <v>290</v>
      </c>
      <c r="B4" s="1" t="s">
        <v>291</v>
      </c>
      <c r="C4" s="1" t="str">
        <f>gminy_26[[#This Row],[kod gminy]]</f>
        <v>2661011</v>
      </c>
      <c r="D4" s="1" t="s">
        <v>67</v>
      </c>
      <c r="E4" s="1" t="s">
        <v>291</v>
      </c>
      <c r="F4" s="1" t="s">
        <v>50</v>
      </c>
      <c r="G4" s="1" t="str">
        <f>VLOOKUP(gminy_26[[#This Row],[kod strefy]],strefy_26[],2,FALSE)</f>
        <v>miasto Kielce</v>
      </c>
      <c r="H4" s="32">
        <v>469610</v>
      </c>
      <c r="I4" s="32">
        <v>0</v>
      </c>
      <c r="J4" s="32">
        <v>37570</v>
      </c>
      <c r="K4" s="32">
        <v>70440</v>
      </c>
      <c r="L4" s="32">
        <v>79840</v>
      </c>
      <c r="M4" s="32">
        <v>93920</v>
      </c>
      <c r="N4" s="32">
        <v>93920</v>
      </c>
      <c r="O4" s="35">
        <v>93920</v>
      </c>
      <c r="P4" s="35">
        <v>1</v>
      </c>
      <c r="Q4" s="35">
        <v>200</v>
      </c>
      <c r="S4" s="3" t="s">
        <v>54</v>
      </c>
      <c r="T4" s="73">
        <f>SUMIFS(gminy_26[2020],gminy_26[kod powiatu],$S4)</f>
        <v>0</v>
      </c>
      <c r="U4" s="73">
        <f>SUMIFS(gminy_26[2021],gminy_26[kod powiatu],$S4)</f>
        <v>25610</v>
      </c>
      <c r="V4" s="73">
        <f>SUMIFS(gminy_26[2022],gminy_26[kod powiatu],$S4)</f>
        <v>47970</v>
      </c>
      <c r="W4" s="73">
        <f>SUMIFS(gminy_26[2023],gminy_26[kod powiatu],$S4)</f>
        <v>54400</v>
      </c>
      <c r="X4" s="73">
        <f>SUMIFS(gminy_26[2024],gminy_26[kod powiatu],$S4)</f>
        <v>151140</v>
      </c>
      <c r="Y4" s="73">
        <f>SUMIFS(gminy_26[2025],gminy_26[kod powiatu],$S4)</f>
        <v>151140</v>
      </c>
      <c r="Z4" s="73">
        <f>SUMIFS(gminy_26[2026],gminy_26[kod powiatu],$S4)</f>
        <v>180210</v>
      </c>
    </row>
    <row r="5" spans="1:26" hidden="1" x14ac:dyDescent="0.2">
      <c r="A5" s="1" t="s">
        <v>91</v>
      </c>
      <c r="B5" s="1" t="s">
        <v>92</v>
      </c>
      <c r="C5" s="1" t="str">
        <f>gminy_26[[#This Row],[kod gminy]]</f>
        <v>2606012</v>
      </c>
      <c r="D5" s="1" t="s">
        <v>59</v>
      </c>
      <c r="E5" s="1" t="str">
        <f>VLOOKUP(gminy_26[[#This Row],[kod powiatu]],powiaty_26[],katalogi!$B$1,FALSE)</f>
        <v>opatowski</v>
      </c>
      <c r="F5" s="1" t="s">
        <v>52</v>
      </c>
      <c r="G5" s="1" t="str">
        <f>VLOOKUP(gminy_26[[#This Row],[kod strefy]],strefy_26[],2,FALSE)</f>
        <v>strefa świętokrzyska</v>
      </c>
      <c r="H5" s="32">
        <v>34360</v>
      </c>
      <c r="I5" s="32">
        <v>0</v>
      </c>
      <c r="J5" s="32">
        <v>300</v>
      </c>
      <c r="K5" s="32">
        <v>550</v>
      </c>
      <c r="L5" s="32">
        <v>630</v>
      </c>
      <c r="M5" s="32">
        <v>9940</v>
      </c>
      <c r="N5" s="32">
        <v>9940</v>
      </c>
      <c r="O5" s="35">
        <v>13000</v>
      </c>
      <c r="P5" s="35">
        <v>1</v>
      </c>
      <c r="Q5" s="35">
        <v>5</v>
      </c>
      <c r="S5" s="3" t="s">
        <v>55</v>
      </c>
      <c r="T5" s="73">
        <f>SUMIFS(gminy_26[2020],gminy_26[kod powiatu],$S5)</f>
        <v>0</v>
      </c>
      <c r="U5" s="73">
        <f>SUMIFS(gminy_26[2021],gminy_26[kod powiatu],$S5)</f>
        <v>35820</v>
      </c>
      <c r="V5" s="73">
        <f>SUMIFS(gminy_26[2022],gminy_26[kod powiatu],$S5)</f>
        <v>67110</v>
      </c>
      <c r="W5" s="73">
        <f>SUMIFS(gminy_26[2023],gminy_26[kod powiatu],$S5)</f>
        <v>76070</v>
      </c>
      <c r="X5" s="73">
        <f>SUMIFS(gminy_26[2024],gminy_26[kod powiatu],$S5)</f>
        <v>209790</v>
      </c>
      <c r="Y5" s="73">
        <f>SUMIFS(gminy_26[2025],gminy_26[kod powiatu],$S5)</f>
        <v>209790</v>
      </c>
      <c r="Z5" s="73">
        <f>SUMIFS(gminy_26[2026],gminy_26[kod powiatu],$S5)</f>
        <v>249900</v>
      </c>
    </row>
    <row r="6" spans="1:26" hidden="1" x14ac:dyDescent="0.2">
      <c r="A6" s="1" t="s">
        <v>93</v>
      </c>
      <c r="B6" s="1" t="s">
        <v>94</v>
      </c>
      <c r="C6" s="1" t="str">
        <f>gminy_26[[#This Row],[kod gminy]]</f>
        <v>2607022</v>
      </c>
      <c r="D6" s="1" t="s">
        <v>60</v>
      </c>
      <c r="E6" s="1" t="str">
        <f>VLOOKUP(gminy_26[[#This Row],[kod powiatu]],powiaty_26[],katalogi!$B$1,FALSE)</f>
        <v>ostrowiecki</v>
      </c>
      <c r="F6" s="1" t="s">
        <v>52</v>
      </c>
      <c r="G6" s="1" t="str">
        <f>VLOOKUP(gminy_26[[#This Row],[kod strefy]],strefy_26[],2,FALSE)</f>
        <v>strefa świętokrzyska</v>
      </c>
      <c r="H6" s="32">
        <v>37380</v>
      </c>
      <c r="I6" s="32">
        <v>0</v>
      </c>
      <c r="J6" s="32">
        <v>1570</v>
      </c>
      <c r="K6" s="32">
        <v>2930</v>
      </c>
      <c r="L6" s="32">
        <v>3320</v>
      </c>
      <c r="M6" s="32">
        <v>9260</v>
      </c>
      <c r="N6" s="32">
        <v>9260</v>
      </c>
      <c r="O6" s="35">
        <v>11040</v>
      </c>
      <c r="P6" s="35">
        <v>1</v>
      </c>
      <c r="Q6" s="35">
        <v>5</v>
      </c>
      <c r="S6" s="3" t="s">
        <v>56</v>
      </c>
      <c r="T6" s="73">
        <f>SUMIFS(gminy_26[2020],gminy_26[kod powiatu],$S6)</f>
        <v>0</v>
      </c>
      <c r="U6" s="73">
        <f>SUMIFS(gminy_26[2021],gminy_26[kod powiatu],$S6)</f>
        <v>6800</v>
      </c>
      <c r="V6" s="73">
        <f>SUMIFS(gminy_26[2022],gminy_26[kod powiatu],$S6)</f>
        <v>12710</v>
      </c>
      <c r="W6" s="73">
        <f>SUMIFS(gminy_26[2023],gminy_26[kod powiatu],$S6)</f>
        <v>14420</v>
      </c>
      <c r="X6" s="73">
        <f>SUMIFS(gminy_26[2024],gminy_26[kod powiatu],$S6)</f>
        <v>64320</v>
      </c>
      <c r="Y6" s="73">
        <f>SUMIFS(gminy_26[2025],gminy_26[kod powiatu],$S6)</f>
        <v>64320</v>
      </c>
      <c r="Z6" s="73">
        <f>SUMIFS(gminy_26[2026],gminy_26[kod powiatu],$S6)</f>
        <v>80110</v>
      </c>
    </row>
    <row r="7" spans="1:26" hidden="1" x14ac:dyDescent="0.2">
      <c r="A7" s="1" t="s">
        <v>95</v>
      </c>
      <c r="B7" s="1" t="s">
        <v>96</v>
      </c>
      <c r="C7" s="1" t="str">
        <f>gminy_26[[#This Row],[kod gminy]]</f>
        <v>2603012</v>
      </c>
      <c r="D7" s="1" t="s">
        <v>56</v>
      </c>
      <c r="E7" s="1" t="str">
        <f>VLOOKUP(gminy_26[[#This Row],[kod powiatu]],powiaty_26[],katalogi!$B$1,FALSE)</f>
        <v>kazimierski</v>
      </c>
      <c r="F7" s="1" t="s">
        <v>52</v>
      </c>
      <c r="G7" s="1" t="str">
        <f>VLOOKUP(gminy_26[[#This Row],[kod strefy]],strefy_26[],2,FALSE)</f>
        <v>strefa świętokrzyska</v>
      </c>
      <c r="H7" s="32">
        <v>29250</v>
      </c>
      <c r="I7" s="32">
        <v>0</v>
      </c>
      <c r="J7" s="32">
        <v>790</v>
      </c>
      <c r="K7" s="32">
        <v>1470</v>
      </c>
      <c r="L7" s="32">
        <v>1670</v>
      </c>
      <c r="M7" s="32">
        <v>7790</v>
      </c>
      <c r="N7" s="32">
        <v>7790</v>
      </c>
      <c r="O7" s="35">
        <v>9740</v>
      </c>
      <c r="P7" s="35">
        <v>1</v>
      </c>
      <c r="Q7" s="35">
        <v>5</v>
      </c>
      <c r="S7" s="3" t="s">
        <v>57</v>
      </c>
      <c r="T7" s="73">
        <f>SUMIFS(gminy_26[2020],gminy_26[kod powiatu],$S7)</f>
        <v>0</v>
      </c>
      <c r="U7" s="73">
        <f>SUMIFS(gminy_26[2021],gminy_26[kod powiatu],$S7)</f>
        <v>92530</v>
      </c>
      <c r="V7" s="73">
        <f>SUMIFS(gminy_26[2022],gminy_26[kod powiatu],$S7)</f>
        <v>173390</v>
      </c>
      <c r="W7" s="73">
        <f>SUMIFS(gminy_26[2023],gminy_26[kod powiatu],$S7)</f>
        <v>196460</v>
      </c>
      <c r="X7" s="73">
        <f>SUMIFS(gminy_26[2024],gminy_26[kod powiatu],$S7)</f>
        <v>587180</v>
      </c>
      <c r="Y7" s="73">
        <f>SUMIFS(gminy_26[2025],gminy_26[kod powiatu],$S7)</f>
        <v>587180</v>
      </c>
      <c r="Z7" s="73">
        <f>SUMIFS(gminy_26[2026],gminy_26[kod powiatu],$S7)</f>
        <v>705840</v>
      </c>
    </row>
    <row r="8" spans="1:26" x14ac:dyDescent="0.2">
      <c r="A8" s="1" t="s">
        <v>97</v>
      </c>
      <c r="B8" s="1" t="s">
        <v>98</v>
      </c>
      <c r="C8" s="1" t="str">
        <f>gminy_26[[#This Row],[kod gminy]]</f>
        <v>2604012</v>
      </c>
      <c r="D8" s="1" t="s">
        <v>57</v>
      </c>
      <c r="E8" s="1" t="str">
        <f>VLOOKUP(gminy_26[[#This Row],[kod powiatu]],powiaty_26[],katalogi!$B$1,FALSE)</f>
        <v>kielecki</v>
      </c>
      <c r="F8" s="1" t="s">
        <v>52</v>
      </c>
      <c r="G8" s="1" t="str">
        <f>VLOOKUP(gminy_26[[#This Row],[kod strefy]],strefy_26[],2,FALSE)</f>
        <v>strefa świętokrzyska</v>
      </c>
      <c r="H8" s="32">
        <v>123210</v>
      </c>
      <c r="I8" s="32">
        <v>0</v>
      </c>
      <c r="J8" s="32">
        <v>4940</v>
      </c>
      <c r="K8" s="32">
        <v>9260</v>
      </c>
      <c r="L8" s="32">
        <v>10490</v>
      </c>
      <c r="M8" s="32">
        <v>30790</v>
      </c>
      <c r="N8" s="32">
        <v>30790</v>
      </c>
      <c r="O8" s="35">
        <v>36940</v>
      </c>
      <c r="P8" s="35">
        <v>1</v>
      </c>
      <c r="Q8" s="35">
        <v>5</v>
      </c>
      <c r="S8" s="3" t="s">
        <v>58</v>
      </c>
      <c r="T8" s="73">
        <f>SUMIFS(gminy_26[2020],gminy_26[kod powiatu],$S8)</f>
        <v>0</v>
      </c>
      <c r="U8" s="73">
        <f>SUMIFS(gminy_26[2021],gminy_26[kod powiatu],$S8)</f>
        <v>21050</v>
      </c>
      <c r="V8" s="73">
        <f>SUMIFS(gminy_26[2022],gminy_26[kod powiatu],$S8)</f>
        <v>39410</v>
      </c>
      <c r="W8" s="73">
        <f>SUMIFS(gminy_26[2023],gminy_26[kod powiatu],$S8)</f>
        <v>44670</v>
      </c>
      <c r="X8" s="73">
        <f>SUMIFS(gminy_26[2024],gminy_26[kod powiatu],$S8)</f>
        <v>183160</v>
      </c>
      <c r="Y8" s="73">
        <f>SUMIFS(gminy_26[2025],gminy_26[kod powiatu],$S8)</f>
        <v>183160</v>
      </c>
      <c r="Z8" s="73">
        <f>SUMIFS(gminy_26[2026],gminy_26[kod powiatu],$S8)</f>
        <v>226700</v>
      </c>
    </row>
    <row r="9" spans="1:26" hidden="1" x14ac:dyDescent="0.2">
      <c r="A9" s="1" t="s">
        <v>99</v>
      </c>
      <c r="B9" s="1" t="s">
        <v>100</v>
      </c>
      <c r="C9" s="1" t="str">
        <f>gminy_26[[#This Row],[kod gminy]]</f>
        <v>2610022</v>
      </c>
      <c r="D9" s="1" t="s">
        <v>63</v>
      </c>
      <c r="E9" s="1" t="str">
        <f>VLOOKUP(gminy_26[[#This Row],[kod powiatu]],powiaty_26[],katalogi!$B$1,FALSE)</f>
        <v>skarżyski</v>
      </c>
      <c r="F9" s="1" t="s">
        <v>52</v>
      </c>
      <c r="G9" s="1" t="str">
        <f>VLOOKUP(gminy_26[[#This Row],[kod strefy]],strefy_26[],2,FALSE)</f>
        <v>strefa świętokrzyska</v>
      </c>
      <c r="H9" s="32">
        <v>77710</v>
      </c>
      <c r="I9" s="32">
        <v>0</v>
      </c>
      <c r="J9" s="32">
        <v>2060</v>
      </c>
      <c r="K9" s="32">
        <v>3860</v>
      </c>
      <c r="L9" s="32">
        <v>4370</v>
      </c>
      <c r="M9" s="32">
        <v>20740</v>
      </c>
      <c r="N9" s="32">
        <v>20740</v>
      </c>
      <c r="O9" s="35">
        <v>25940</v>
      </c>
      <c r="P9" s="35">
        <v>1</v>
      </c>
      <c r="Q9" s="35">
        <v>5</v>
      </c>
      <c r="S9" s="3" t="s">
        <v>59</v>
      </c>
      <c r="T9" s="73">
        <f>SUMIFS(gminy_26[2020],gminy_26[kod powiatu],$S9)</f>
        <v>0</v>
      </c>
      <c r="U9" s="73">
        <f>SUMIFS(gminy_26[2021],gminy_26[kod powiatu],$S9)</f>
        <v>2680</v>
      </c>
      <c r="V9" s="73">
        <f>SUMIFS(gminy_26[2022],gminy_26[kod powiatu],$S9)</f>
        <v>4980</v>
      </c>
      <c r="W9" s="73">
        <f>SUMIFS(gminy_26[2023],gminy_26[kod powiatu],$S9)</f>
        <v>5660</v>
      </c>
      <c r="X9" s="73">
        <f>SUMIFS(gminy_26[2024],gminy_26[kod powiatu],$S9)</f>
        <v>92630</v>
      </c>
      <c r="Y9" s="73">
        <f>SUMIFS(gminy_26[2025],gminy_26[kod powiatu],$S9)</f>
        <v>92630</v>
      </c>
      <c r="Z9" s="73">
        <f>SUMIFS(gminy_26[2026],gminy_26[kod powiatu],$S9)</f>
        <v>121290</v>
      </c>
    </row>
    <row r="10" spans="1:26" hidden="1" x14ac:dyDescent="0.2">
      <c r="A10" s="1" t="s">
        <v>101</v>
      </c>
      <c r="B10" s="1" t="s">
        <v>102</v>
      </c>
      <c r="C10" s="1" t="str">
        <f>gminy_26[[#This Row],[kod gminy]]</f>
        <v>2607032</v>
      </c>
      <c r="D10" s="1" t="s">
        <v>60</v>
      </c>
      <c r="E10" s="1" t="str">
        <f>VLOOKUP(gminy_26[[#This Row],[kod powiatu]],powiaty_26[],katalogi!$B$1,FALSE)</f>
        <v>ostrowiecki</v>
      </c>
      <c r="F10" s="1" t="s">
        <v>52</v>
      </c>
      <c r="G10" s="1" t="str">
        <f>VLOOKUP(gminy_26[[#This Row],[kod strefy]],strefy_26[],2,FALSE)</f>
        <v>strefa świętokrzyska</v>
      </c>
      <c r="H10" s="32">
        <v>106270</v>
      </c>
      <c r="I10" s="32">
        <v>0</v>
      </c>
      <c r="J10" s="32">
        <v>4450</v>
      </c>
      <c r="K10" s="32">
        <v>8340</v>
      </c>
      <c r="L10" s="32">
        <v>9450</v>
      </c>
      <c r="M10" s="32">
        <v>26320</v>
      </c>
      <c r="N10" s="32">
        <v>26320</v>
      </c>
      <c r="O10" s="35">
        <v>31390</v>
      </c>
      <c r="P10" s="35">
        <v>1</v>
      </c>
      <c r="Q10" s="35">
        <v>5</v>
      </c>
      <c r="S10" s="3" t="s">
        <v>60</v>
      </c>
      <c r="T10" s="73">
        <f>SUMIFS(gminy_26[2020],gminy_26[kod powiatu],$S10)</f>
        <v>0</v>
      </c>
      <c r="U10" s="73">
        <f>SUMIFS(gminy_26[2021],gminy_26[kod powiatu],$S10)</f>
        <v>34780</v>
      </c>
      <c r="V10" s="73">
        <f>SUMIFS(gminy_26[2022],gminy_26[kod powiatu],$S10)</f>
        <v>65180</v>
      </c>
      <c r="W10" s="73">
        <f>SUMIFS(gminy_26[2023],gminy_26[kod powiatu],$S10)</f>
        <v>73870</v>
      </c>
      <c r="X10" s="73">
        <f>SUMIFS(gminy_26[2024],gminy_26[kod powiatu],$S10)</f>
        <v>199550</v>
      </c>
      <c r="Y10" s="73">
        <f>SUMIFS(gminy_26[2025],gminy_26[kod powiatu],$S10)</f>
        <v>199550</v>
      </c>
      <c r="Z10" s="73">
        <f>SUMIFS(gminy_26[2026],gminy_26[kod powiatu],$S10)</f>
        <v>237080</v>
      </c>
    </row>
    <row r="11" spans="1:26" x14ac:dyDescent="0.2">
      <c r="A11" s="1" t="s">
        <v>103</v>
      </c>
      <c r="B11" s="1" t="s">
        <v>104</v>
      </c>
      <c r="C11" s="1" t="str">
        <f>gminy_26[[#This Row],[kod gminy]]</f>
        <v>2604023</v>
      </c>
      <c r="D11" s="1" t="s">
        <v>57</v>
      </c>
      <c r="E11" s="1" t="str">
        <f>VLOOKUP(gminy_26[[#This Row],[kod powiatu]],powiaty_26[],katalogi!$B$1,FALSE)</f>
        <v>kielecki</v>
      </c>
      <c r="F11" s="1" t="s">
        <v>52</v>
      </c>
      <c r="G11" s="1" t="str">
        <f>VLOOKUP(gminy_26[[#This Row],[kod strefy]],strefy_26[],2,FALSE)</f>
        <v>strefa świętokrzyska</v>
      </c>
      <c r="H11" s="32">
        <v>129960</v>
      </c>
      <c r="I11" s="32">
        <v>0</v>
      </c>
      <c r="J11" s="32">
        <v>5080</v>
      </c>
      <c r="K11" s="32">
        <v>9520</v>
      </c>
      <c r="L11" s="32">
        <v>10790</v>
      </c>
      <c r="M11" s="32">
        <v>32640</v>
      </c>
      <c r="N11" s="32">
        <v>32640</v>
      </c>
      <c r="O11" s="35">
        <v>39290</v>
      </c>
      <c r="P11" s="35">
        <v>1</v>
      </c>
      <c r="Q11" s="35">
        <v>20</v>
      </c>
      <c r="S11" s="3" t="s">
        <v>61</v>
      </c>
      <c r="T11" s="73">
        <f>SUMIFS(gminy_26[2020],gminy_26[kod powiatu],$S11)</f>
        <v>0</v>
      </c>
      <c r="U11" s="73">
        <f>SUMIFS(gminy_26[2021],gminy_26[kod powiatu],$S11)</f>
        <v>4280</v>
      </c>
      <c r="V11" s="73">
        <f>SUMIFS(gminy_26[2022],gminy_26[kod powiatu],$S11)</f>
        <v>8010</v>
      </c>
      <c r="W11" s="73">
        <f>SUMIFS(gminy_26[2023],gminy_26[kod powiatu],$S11)</f>
        <v>9070</v>
      </c>
      <c r="X11" s="73">
        <f>SUMIFS(gminy_26[2024],gminy_26[kod powiatu],$S11)</f>
        <v>101300</v>
      </c>
      <c r="Y11" s="73">
        <f>SUMIFS(gminy_26[2025],gminy_26[kod powiatu],$S11)</f>
        <v>101300</v>
      </c>
      <c r="Z11" s="73">
        <f>SUMIFS(gminy_26[2026],gminy_26[kod powiatu],$S11)</f>
        <v>131530</v>
      </c>
    </row>
    <row r="12" spans="1:26" hidden="1" x14ac:dyDescent="0.2">
      <c r="A12" s="1" t="s">
        <v>105</v>
      </c>
      <c r="B12" s="1" t="s">
        <v>106</v>
      </c>
      <c r="C12" s="1" t="str">
        <f>gminy_26[[#This Row],[kod gminy]]</f>
        <v>2612012</v>
      </c>
      <c r="D12" s="1" t="s">
        <v>65</v>
      </c>
      <c r="E12" s="1" t="str">
        <f>VLOOKUP(gminy_26[[#This Row],[kod powiatu]],powiaty_26[],katalogi!$B$1,FALSE)</f>
        <v>staszowski</v>
      </c>
      <c r="F12" s="1" t="s">
        <v>52</v>
      </c>
      <c r="G12" s="1" t="str">
        <f>VLOOKUP(gminy_26[[#This Row],[kod strefy]],strefy_26[],2,FALSE)</f>
        <v>strefa świętokrzyska</v>
      </c>
      <c r="H12" s="32">
        <v>75700</v>
      </c>
      <c r="I12" s="32">
        <v>0</v>
      </c>
      <c r="J12" s="32">
        <v>4460</v>
      </c>
      <c r="K12" s="32">
        <v>8350</v>
      </c>
      <c r="L12" s="32">
        <v>9460</v>
      </c>
      <c r="M12" s="32">
        <v>17140</v>
      </c>
      <c r="N12" s="32">
        <v>17140</v>
      </c>
      <c r="O12" s="35">
        <v>19150</v>
      </c>
      <c r="P12" s="35">
        <v>1</v>
      </c>
      <c r="Q12" s="35">
        <v>5</v>
      </c>
      <c r="S12" s="3" t="s">
        <v>62</v>
      </c>
      <c r="T12" s="73">
        <f>SUMIFS(gminy_26[2020],gminy_26[kod powiatu],$S12)</f>
        <v>0</v>
      </c>
      <c r="U12" s="73">
        <f>SUMIFS(gminy_26[2021],gminy_26[kod powiatu],$S12)</f>
        <v>12250</v>
      </c>
      <c r="V12" s="73">
        <f>SUMIFS(gminy_26[2022],gminy_26[kod powiatu],$S12)</f>
        <v>22900</v>
      </c>
      <c r="W12" s="73">
        <f>SUMIFS(gminy_26[2023],gminy_26[kod powiatu],$S12)</f>
        <v>25970</v>
      </c>
      <c r="X12" s="73">
        <f>SUMIFS(gminy_26[2024],gminy_26[kod powiatu],$S12)</f>
        <v>92860</v>
      </c>
      <c r="Y12" s="73">
        <f>SUMIFS(gminy_26[2025],gminy_26[kod powiatu],$S12)</f>
        <v>92860</v>
      </c>
      <c r="Z12" s="73">
        <f>SUMIFS(gminy_26[2026],gminy_26[kod powiatu],$S12)</f>
        <v>113620</v>
      </c>
    </row>
    <row r="13" spans="1:26" hidden="1" x14ac:dyDescent="0.2">
      <c r="A13" s="1" t="s">
        <v>107</v>
      </c>
      <c r="B13" s="1" t="s">
        <v>108</v>
      </c>
      <c r="C13" s="1" t="str">
        <f>gminy_26[[#This Row],[kod gminy]]</f>
        <v>2611022</v>
      </c>
      <c r="D13" s="1" t="s">
        <v>64</v>
      </c>
      <c r="E13" s="1" t="str">
        <f>VLOOKUP(gminy_26[[#This Row],[kod powiatu]],powiaty_26[],katalogi!$B$1,FALSE)</f>
        <v>starachowicki</v>
      </c>
      <c r="F13" s="1" t="s">
        <v>52</v>
      </c>
      <c r="G13" s="1" t="str">
        <f>VLOOKUP(gminy_26[[#This Row],[kod strefy]],strefy_26[],2,FALSE)</f>
        <v>strefa świętokrzyska</v>
      </c>
      <c r="H13" s="32">
        <v>104260</v>
      </c>
      <c r="I13" s="32">
        <v>0</v>
      </c>
      <c r="J13" s="32">
        <v>2970</v>
      </c>
      <c r="K13" s="32">
        <v>5560</v>
      </c>
      <c r="L13" s="32">
        <v>6300</v>
      </c>
      <c r="M13" s="32">
        <v>27570</v>
      </c>
      <c r="N13" s="32">
        <v>27570</v>
      </c>
      <c r="O13" s="35">
        <v>34290</v>
      </c>
      <c r="P13" s="35">
        <v>1</v>
      </c>
      <c r="Q13" s="35">
        <v>5</v>
      </c>
      <c r="S13" s="3" t="s">
        <v>63</v>
      </c>
      <c r="T13" s="73">
        <f>SUMIFS(gminy_26[2020],gminy_26[kod powiatu],$S13)</f>
        <v>0</v>
      </c>
      <c r="U13" s="73">
        <f>SUMIFS(gminy_26[2021],gminy_26[kod powiatu],$S13)</f>
        <v>14480</v>
      </c>
      <c r="V13" s="73">
        <f>SUMIFS(gminy_26[2022],gminy_26[kod powiatu],$S13)</f>
        <v>27140</v>
      </c>
      <c r="W13" s="73">
        <f>SUMIFS(gminy_26[2023],gminy_26[kod powiatu],$S13)</f>
        <v>30740</v>
      </c>
      <c r="X13" s="73">
        <f>SUMIFS(gminy_26[2024],gminy_26[kod powiatu],$S13)</f>
        <v>145850</v>
      </c>
      <c r="Y13" s="73">
        <f>SUMIFS(gminy_26[2025],gminy_26[kod powiatu],$S13)</f>
        <v>145850</v>
      </c>
      <c r="Z13" s="73">
        <f>SUMIFS(gminy_26[2026],gminy_26[kod powiatu],$S13)</f>
        <v>182410</v>
      </c>
    </row>
    <row r="14" spans="1:26" hidden="1" x14ac:dyDescent="0.2">
      <c r="A14" s="1" t="s">
        <v>109</v>
      </c>
      <c r="B14" s="1" t="s">
        <v>110</v>
      </c>
      <c r="C14" s="1" t="str">
        <f>gminy_26[[#This Row],[kod gminy]]</f>
        <v>2601013</v>
      </c>
      <c r="D14" s="1" t="s">
        <v>54</v>
      </c>
      <c r="E14" s="1" t="str">
        <f>VLOOKUP(gminy_26[[#This Row],[kod powiatu]],powiaty_26[],katalogi!$B$1,FALSE)</f>
        <v>buski</v>
      </c>
      <c r="F14" s="1" t="s">
        <v>52</v>
      </c>
      <c r="G14" s="1" t="str">
        <f>VLOOKUP(gminy_26[[#This Row],[kod strefy]],strefy_26[],2,FALSE)</f>
        <v>strefa świętokrzyska</v>
      </c>
      <c r="H14" s="32">
        <v>236640</v>
      </c>
      <c r="I14" s="32">
        <v>0</v>
      </c>
      <c r="J14" s="32">
        <v>10010</v>
      </c>
      <c r="K14" s="32">
        <v>18760</v>
      </c>
      <c r="L14" s="32">
        <v>21270</v>
      </c>
      <c r="M14" s="32">
        <v>58480</v>
      </c>
      <c r="N14" s="32">
        <v>58480</v>
      </c>
      <c r="O14" s="35">
        <v>69640</v>
      </c>
      <c r="P14" s="35">
        <v>1</v>
      </c>
      <c r="Q14" s="35">
        <v>20</v>
      </c>
      <c r="S14" s="3" t="s">
        <v>64</v>
      </c>
      <c r="T14" s="73">
        <f>SUMIFS(gminy_26[2020],gminy_26[kod powiatu],$S14)</f>
        <v>0</v>
      </c>
      <c r="U14" s="73">
        <f>SUMIFS(gminy_26[2021],gminy_26[kod powiatu],$S14)</f>
        <v>19370</v>
      </c>
      <c r="V14" s="73">
        <f>SUMIFS(gminy_26[2022],gminy_26[kod powiatu],$S14)</f>
        <v>36300</v>
      </c>
      <c r="W14" s="73">
        <f>SUMIFS(gminy_26[2023],gminy_26[kod powiatu],$S14)</f>
        <v>41120</v>
      </c>
      <c r="X14" s="73">
        <f>SUMIFS(gminy_26[2024],gminy_26[kod powiatu],$S14)</f>
        <v>180100</v>
      </c>
      <c r="Y14" s="73">
        <f>SUMIFS(gminy_26[2025],gminy_26[kod powiatu],$S14)</f>
        <v>180100</v>
      </c>
      <c r="Z14" s="73">
        <f>SUMIFS(gminy_26[2026],gminy_26[kod powiatu],$S14)</f>
        <v>223990</v>
      </c>
    </row>
    <row r="15" spans="1:26" x14ac:dyDescent="0.2">
      <c r="A15" s="1" t="s">
        <v>111</v>
      </c>
      <c r="B15" s="1" t="s">
        <v>112</v>
      </c>
      <c r="C15" s="1" t="str">
        <f>gminy_26[[#This Row],[kod gminy]]</f>
        <v>2604033</v>
      </c>
      <c r="D15" s="1" t="s">
        <v>57</v>
      </c>
      <c r="E15" s="1" t="str">
        <f>VLOOKUP(gminy_26[[#This Row],[kod powiatu]],powiaty_26[],katalogi!$B$1,FALSE)</f>
        <v>kielecki</v>
      </c>
      <c r="F15" s="1" t="s">
        <v>52</v>
      </c>
      <c r="G15" s="1" t="str">
        <f>VLOOKUP(gminy_26[[#This Row],[kod strefy]],strefy_26[],2,FALSE)</f>
        <v>strefa świętokrzyska</v>
      </c>
      <c r="H15" s="32">
        <v>159720</v>
      </c>
      <c r="I15" s="32">
        <v>0</v>
      </c>
      <c r="J15" s="32">
        <v>6330</v>
      </c>
      <c r="K15" s="32">
        <v>11860</v>
      </c>
      <c r="L15" s="32">
        <v>13440</v>
      </c>
      <c r="M15" s="32">
        <v>40010</v>
      </c>
      <c r="N15" s="32">
        <v>40010</v>
      </c>
      <c r="O15" s="35">
        <v>48070</v>
      </c>
      <c r="P15" s="35">
        <v>1</v>
      </c>
      <c r="Q15" s="35">
        <v>20</v>
      </c>
      <c r="S15" s="3" t="s">
        <v>65</v>
      </c>
      <c r="T15" s="73">
        <f>SUMIFS(gminy_26[2020],gminy_26[kod powiatu],$S15)</f>
        <v>0</v>
      </c>
      <c r="U15" s="73">
        <f>SUMIFS(gminy_26[2021],gminy_26[kod powiatu],$S15)</f>
        <v>37080</v>
      </c>
      <c r="V15" s="73">
        <f>SUMIFS(gminy_26[2022],gminy_26[kod powiatu],$S15)</f>
        <v>69470</v>
      </c>
      <c r="W15" s="73">
        <f>SUMIFS(gminy_26[2023],gminy_26[kod powiatu],$S15)</f>
        <v>78710</v>
      </c>
      <c r="X15" s="73">
        <f>SUMIFS(gminy_26[2024],gminy_26[kod powiatu],$S15)</f>
        <v>141990</v>
      </c>
      <c r="Y15" s="73">
        <f>SUMIFS(gminy_26[2025],gminy_26[kod powiatu],$S15)</f>
        <v>141990</v>
      </c>
      <c r="Z15" s="73">
        <f>SUMIFS(gminy_26[2026],gminy_26[kod powiatu],$S15)</f>
        <v>158460</v>
      </c>
    </row>
    <row r="16" spans="1:26" x14ac:dyDescent="0.2">
      <c r="A16" s="1" t="s">
        <v>113</v>
      </c>
      <c r="B16" s="1" t="s">
        <v>114</v>
      </c>
      <c r="C16" s="1" t="str">
        <f>gminy_26[[#This Row],[kod gminy]]</f>
        <v>2604043</v>
      </c>
      <c r="D16" s="1" t="s">
        <v>57</v>
      </c>
      <c r="E16" s="1" t="str">
        <f>VLOOKUP(gminy_26[[#This Row],[kod powiatu]],powiaty_26[],katalogi!$B$1,FALSE)</f>
        <v>kielecki</v>
      </c>
      <c r="F16" s="1" t="s">
        <v>52</v>
      </c>
      <c r="G16" s="1" t="str">
        <f>VLOOKUP(gminy_26[[#This Row],[kod strefy]],strefy_26[],2,FALSE)</f>
        <v>strefa świętokrzyska</v>
      </c>
      <c r="H16" s="32">
        <v>122540</v>
      </c>
      <c r="I16" s="32">
        <v>0</v>
      </c>
      <c r="J16" s="32">
        <v>4860</v>
      </c>
      <c r="K16" s="32">
        <v>9100</v>
      </c>
      <c r="L16" s="32">
        <v>10320</v>
      </c>
      <c r="M16" s="32">
        <v>30690</v>
      </c>
      <c r="N16" s="32">
        <v>30690</v>
      </c>
      <c r="O16" s="35">
        <v>36880</v>
      </c>
      <c r="P16" s="35">
        <v>1</v>
      </c>
      <c r="Q16" s="35">
        <v>20</v>
      </c>
      <c r="S16" s="3" t="s">
        <v>66</v>
      </c>
      <c r="T16" s="73">
        <f>SUMIFS(gminy_26[2020],gminy_26[kod powiatu],$S16)</f>
        <v>0</v>
      </c>
      <c r="U16" s="73">
        <f>SUMIFS(gminy_26[2021],gminy_26[kod powiatu],$S16)</f>
        <v>5500</v>
      </c>
      <c r="V16" s="73">
        <f>SUMIFS(gminy_26[2022],gminy_26[kod powiatu],$S16)</f>
        <v>10290</v>
      </c>
      <c r="W16" s="73">
        <f>SUMIFS(gminy_26[2023],gminy_26[kod powiatu],$S16)</f>
        <v>11660</v>
      </c>
      <c r="X16" s="73">
        <f>SUMIFS(gminy_26[2024],gminy_26[kod powiatu],$S16)</f>
        <v>97440</v>
      </c>
      <c r="Y16" s="73">
        <f>SUMIFS(gminy_26[2025],gminy_26[kod powiatu],$S16)</f>
        <v>97440</v>
      </c>
      <c r="Z16" s="73">
        <f>SUMIFS(gminy_26[2026],gminy_26[kod powiatu],$S16)</f>
        <v>125330</v>
      </c>
    </row>
    <row r="17" spans="1:26" hidden="1" x14ac:dyDescent="0.2">
      <c r="A17" s="1" t="s">
        <v>115</v>
      </c>
      <c r="B17" s="1" t="s">
        <v>116</v>
      </c>
      <c r="C17" s="1" t="str">
        <f>gminy_26[[#This Row],[kod gminy]]</f>
        <v>2603022</v>
      </c>
      <c r="D17" s="1" t="s">
        <v>56</v>
      </c>
      <c r="E17" s="1" t="str">
        <f>VLOOKUP(gminy_26[[#This Row],[kod powiatu]],powiaty_26[],katalogi!$B$1,FALSE)</f>
        <v>kazimierski</v>
      </c>
      <c r="F17" s="1" t="s">
        <v>52</v>
      </c>
      <c r="G17" s="1" t="str">
        <f>VLOOKUP(gminy_26[[#This Row],[kod strefy]],strefy_26[],2,FALSE)</f>
        <v>strefa świętokrzyska</v>
      </c>
      <c r="H17" s="32">
        <v>27910</v>
      </c>
      <c r="I17" s="32">
        <v>0</v>
      </c>
      <c r="J17" s="32">
        <v>770</v>
      </c>
      <c r="K17" s="32">
        <v>1430</v>
      </c>
      <c r="L17" s="32">
        <v>1620</v>
      </c>
      <c r="M17" s="32">
        <v>7420</v>
      </c>
      <c r="N17" s="32">
        <v>7420</v>
      </c>
      <c r="O17" s="35">
        <v>9250</v>
      </c>
      <c r="P17" s="35">
        <v>1</v>
      </c>
      <c r="Q17" s="35">
        <v>5</v>
      </c>
      <c r="S17" s="3" t="s">
        <v>67</v>
      </c>
      <c r="T17" s="73">
        <f>SUMIFS(gminy_26[2020],gminy_26[kod powiatu],$S17)</f>
        <v>0</v>
      </c>
      <c r="U17" s="73">
        <f>SUMIFS(gminy_26[2021],gminy_26[kod powiatu],$S17)</f>
        <v>37570</v>
      </c>
      <c r="V17" s="73">
        <f>SUMIFS(gminy_26[2022],gminy_26[kod powiatu],$S17)</f>
        <v>70440</v>
      </c>
      <c r="W17" s="73">
        <f>SUMIFS(gminy_26[2023],gminy_26[kod powiatu],$S17)</f>
        <v>79840</v>
      </c>
      <c r="X17" s="73">
        <f>SUMIFS(gminy_26[2024],gminy_26[kod powiatu],$S17)</f>
        <v>93920</v>
      </c>
      <c r="Y17" s="73">
        <f>SUMIFS(gminy_26[2025],gminy_26[kod powiatu],$S17)</f>
        <v>93920</v>
      </c>
      <c r="Z17" s="73">
        <f>SUMIFS(gminy_26[2026],gminy_26[kod powiatu],$S17)</f>
        <v>93920</v>
      </c>
    </row>
    <row r="18" spans="1:26" hidden="1" x14ac:dyDescent="0.2">
      <c r="A18" s="1" t="s">
        <v>117</v>
      </c>
      <c r="B18" s="1" t="s">
        <v>118</v>
      </c>
      <c r="C18" s="1" t="str">
        <f>gminy_26[[#This Row],[kod gminy]]</f>
        <v>2607043</v>
      </c>
      <c r="D18" s="1" t="s">
        <v>60</v>
      </c>
      <c r="E18" s="1" t="str">
        <f>VLOOKUP(gminy_26[[#This Row],[kod powiatu]],powiaty_26[],katalogi!$B$1,FALSE)</f>
        <v>ostrowiecki</v>
      </c>
      <c r="F18" s="1" t="s">
        <v>52</v>
      </c>
      <c r="G18" s="1" t="str">
        <f>VLOOKUP(gminy_26[[#This Row],[kod strefy]],strefy_26[],2,FALSE)</f>
        <v>strefa świętokrzyska</v>
      </c>
      <c r="H18" s="32">
        <v>69840</v>
      </c>
      <c r="I18" s="32">
        <v>0</v>
      </c>
      <c r="J18" s="32">
        <v>2970</v>
      </c>
      <c r="K18" s="32">
        <v>5570</v>
      </c>
      <c r="L18" s="32">
        <v>6310</v>
      </c>
      <c r="M18" s="32">
        <v>17240</v>
      </c>
      <c r="N18" s="32">
        <v>17240</v>
      </c>
      <c r="O18" s="35">
        <v>20510</v>
      </c>
      <c r="P18" s="35">
        <v>1</v>
      </c>
      <c r="Q18" s="35">
        <v>20</v>
      </c>
    </row>
    <row r="19" spans="1:26" x14ac:dyDescent="0.2">
      <c r="A19" s="1" t="s">
        <v>119</v>
      </c>
      <c r="B19" s="1" t="s">
        <v>120</v>
      </c>
      <c r="C19" s="1" t="str">
        <f>gminy_26[[#This Row],[kod gminy]]</f>
        <v>2604053</v>
      </c>
      <c r="D19" s="1" t="s">
        <v>57</v>
      </c>
      <c r="E19" s="1" t="str">
        <f>VLOOKUP(gminy_26[[#This Row],[kod powiatu]],powiaty_26[],katalogi!$B$1,FALSE)</f>
        <v>kielecki</v>
      </c>
      <c r="F19" s="1" t="s">
        <v>52</v>
      </c>
      <c r="G19" s="1" t="str">
        <f>VLOOKUP(gminy_26[[#This Row],[kod strefy]],strefy_26[],2,FALSE)</f>
        <v>strefa świętokrzyska</v>
      </c>
      <c r="H19" s="32">
        <v>176290</v>
      </c>
      <c r="I19" s="32">
        <v>0</v>
      </c>
      <c r="J19" s="32">
        <v>6880</v>
      </c>
      <c r="K19" s="32">
        <v>12900</v>
      </c>
      <c r="L19" s="32">
        <v>14610</v>
      </c>
      <c r="M19" s="32">
        <v>44290</v>
      </c>
      <c r="N19" s="32">
        <v>44290</v>
      </c>
      <c r="O19" s="35">
        <v>53320</v>
      </c>
      <c r="P19" s="35">
        <v>1</v>
      </c>
      <c r="Q19" s="35">
        <v>20</v>
      </c>
    </row>
    <row r="20" spans="1:26" hidden="1" x14ac:dyDescent="0.2">
      <c r="A20" s="1" t="s">
        <v>121</v>
      </c>
      <c r="B20" s="1" t="s">
        <v>122</v>
      </c>
      <c r="C20" s="1" t="str">
        <f>gminy_26[[#This Row],[kod gminy]]</f>
        <v>2609022</v>
      </c>
      <c r="D20" s="1" t="s">
        <v>62</v>
      </c>
      <c r="E20" s="1" t="str">
        <f>VLOOKUP(gminy_26[[#This Row],[kod powiatu]],powiaty_26[],katalogi!$B$1,FALSE)</f>
        <v>sandomierski</v>
      </c>
      <c r="F20" s="1" t="s">
        <v>52</v>
      </c>
      <c r="G20" s="1" t="str">
        <f>VLOOKUP(gminy_26[[#This Row],[kod strefy]],strefy_26[],2,FALSE)</f>
        <v>strefa świętokrzyska</v>
      </c>
      <c r="H20" s="32">
        <v>46680</v>
      </c>
      <c r="I20" s="32">
        <v>0</v>
      </c>
      <c r="J20" s="32">
        <v>1590</v>
      </c>
      <c r="K20" s="32">
        <v>2970</v>
      </c>
      <c r="L20" s="32">
        <v>3370</v>
      </c>
      <c r="M20" s="32">
        <v>12020</v>
      </c>
      <c r="N20" s="32">
        <v>12020</v>
      </c>
      <c r="O20" s="35">
        <v>14710</v>
      </c>
      <c r="P20" s="35">
        <v>1</v>
      </c>
      <c r="Q20" s="35">
        <v>5</v>
      </c>
    </row>
    <row r="21" spans="1:26" hidden="1" x14ac:dyDescent="0.2">
      <c r="A21" s="1" t="s">
        <v>123</v>
      </c>
      <c r="B21" s="1" t="s">
        <v>124</v>
      </c>
      <c r="C21" s="1" t="str">
        <f>gminy_26[[#This Row],[kod gminy]]</f>
        <v>2608013</v>
      </c>
      <c r="D21" s="1" t="s">
        <v>61</v>
      </c>
      <c r="E21" s="1" t="str">
        <f>VLOOKUP(gminy_26[[#This Row],[kod powiatu]],powiaty_26[],katalogi!$B$1,FALSE)</f>
        <v>pińczowski</v>
      </c>
      <c r="F21" s="1" t="s">
        <v>52</v>
      </c>
      <c r="G21" s="1" t="str">
        <f>VLOOKUP(gminy_26[[#This Row],[kod strefy]],strefy_26[],2,FALSE)</f>
        <v>strefa świętokrzyska</v>
      </c>
      <c r="H21" s="32">
        <v>50980</v>
      </c>
      <c r="I21" s="32">
        <v>0</v>
      </c>
      <c r="J21" s="32">
        <v>550</v>
      </c>
      <c r="K21" s="32">
        <v>1020</v>
      </c>
      <c r="L21" s="32">
        <v>1160</v>
      </c>
      <c r="M21" s="32">
        <v>14610</v>
      </c>
      <c r="N21" s="32">
        <v>14610</v>
      </c>
      <c r="O21" s="35">
        <v>19030</v>
      </c>
      <c r="P21" s="35">
        <v>1</v>
      </c>
      <c r="Q21" s="35">
        <v>20</v>
      </c>
    </row>
    <row r="22" spans="1:26" hidden="1" x14ac:dyDescent="0.2">
      <c r="A22" s="1" t="s">
        <v>125</v>
      </c>
      <c r="B22" s="1" t="s">
        <v>126</v>
      </c>
      <c r="C22" s="1" t="str">
        <f>gminy_26[[#This Row],[kod gminy]]</f>
        <v>2605012</v>
      </c>
      <c r="D22" s="1" t="s">
        <v>58</v>
      </c>
      <c r="E22" s="1" t="str">
        <f>VLOOKUP(gminy_26[[#This Row],[kod powiatu]],powiaty_26[],katalogi!$B$1,FALSE)</f>
        <v>konecki</v>
      </c>
      <c r="F22" s="1" t="s">
        <v>52</v>
      </c>
      <c r="G22" s="1" t="str">
        <f>VLOOKUP(gminy_26[[#This Row],[kod strefy]],strefy_26[],2,FALSE)</f>
        <v>strefa świętokrzyska</v>
      </c>
      <c r="H22" s="32">
        <v>44320</v>
      </c>
      <c r="I22" s="32">
        <v>0</v>
      </c>
      <c r="J22" s="32">
        <v>1310</v>
      </c>
      <c r="K22" s="32">
        <v>2450</v>
      </c>
      <c r="L22" s="32">
        <v>2780</v>
      </c>
      <c r="M22" s="32">
        <v>11660</v>
      </c>
      <c r="N22" s="32">
        <v>11660</v>
      </c>
      <c r="O22" s="35">
        <v>14460</v>
      </c>
      <c r="P22" s="35">
        <v>1</v>
      </c>
      <c r="Q22" s="35">
        <v>5</v>
      </c>
    </row>
    <row r="23" spans="1:26" hidden="1" x14ac:dyDescent="0.2">
      <c r="A23" s="1" t="s">
        <v>127</v>
      </c>
      <c r="B23" s="1" t="s">
        <v>128</v>
      </c>
      <c r="C23" s="1" t="str">
        <f>gminy_26[[#This Row],[kod gminy]]</f>
        <v>2601022</v>
      </c>
      <c r="D23" s="1" t="s">
        <v>54</v>
      </c>
      <c r="E23" s="1" t="str">
        <f>VLOOKUP(gminy_26[[#This Row],[kod powiatu]],powiaty_26[],katalogi!$B$1,FALSE)</f>
        <v>buski</v>
      </c>
      <c r="F23" s="1" t="s">
        <v>52</v>
      </c>
      <c r="G23" s="1" t="str">
        <f>VLOOKUP(gminy_26[[#This Row],[kod strefy]],strefy_26[],2,FALSE)</f>
        <v>strefa świętokrzyska</v>
      </c>
      <c r="H23" s="32">
        <v>47190</v>
      </c>
      <c r="I23" s="32">
        <v>0</v>
      </c>
      <c r="J23" s="32">
        <v>1980</v>
      </c>
      <c r="K23" s="32">
        <v>3710</v>
      </c>
      <c r="L23" s="32">
        <v>4210</v>
      </c>
      <c r="M23" s="32">
        <v>11680</v>
      </c>
      <c r="N23" s="32">
        <v>11680</v>
      </c>
      <c r="O23" s="35">
        <v>13930</v>
      </c>
      <c r="P23" s="35">
        <v>1</v>
      </c>
      <c r="Q23" s="35">
        <v>5</v>
      </c>
    </row>
    <row r="24" spans="1:26" hidden="1" x14ac:dyDescent="0.2">
      <c r="A24" s="1" t="s">
        <v>129</v>
      </c>
      <c r="B24" s="1" t="s">
        <v>130</v>
      </c>
      <c r="C24" s="1" t="str">
        <f>gminy_26[[#This Row],[kod gminy]]</f>
        <v>2605022</v>
      </c>
      <c r="D24" s="1" t="s">
        <v>58</v>
      </c>
      <c r="E24" s="1" t="str">
        <f>VLOOKUP(gminy_26[[#This Row],[kod powiatu]],powiaty_26[],katalogi!$B$1,FALSE)</f>
        <v>konecki</v>
      </c>
      <c r="F24" s="1" t="s">
        <v>52</v>
      </c>
      <c r="G24" s="1" t="str">
        <f>VLOOKUP(gminy_26[[#This Row],[kod strefy]],strefy_26[],2,FALSE)</f>
        <v>strefa świętokrzyska</v>
      </c>
      <c r="H24" s="32">
        <v>43750</v>
      </c>
      <c r="I24" s="32">
        <v>0</v>
      </c>
      <c r="J24" s="32">
        <v>1310</v>
      </c>
      <c r="K24" s="32">
        <v>2450</v>
      </c>
      <c r="L24" s="32">
        <v>2780</v>
      </c>
      <c r="M24" s="32">
        <v>11490</v>
      </c>
      <c r="N24" s="32">
        <v>11490</v>
      </c>
      <c r="O24" s="35">
        <v>14230</v>
      </c>
      <c r="P24" s="35">
        <v>1</v>
      </c>
      <c r="Q24" s="35">
        <v>5</v>
      </c>
    </row>
    <row r="25" spans="1:26" x14ac:dyDescent="0.2">
      <c r="A25" s="1" t="s">
        <v>131</v>
      </c>
      <c r="B25" s="1" t="s">
        <v>132</v>
      </c>
      <c r="C25" s="1" t="str">
        <f>gminy_26[[#This Row],[kod gminy]]</f>
        <v>2604062</v>
      </c>
      <c r="D25" s="1" t="s">
        <v>57</v>
      </c>
      <c r="E25" s="1" t="str">
        <f>VLOOKUP(gminy_26[[#This Row],[kod powiatu]],powiaty_26[],katalogi!$B$1,FALSE)</f>
        <v>kielecki</v>
      </c>
      <c r="F25" s="1" t="s">
        <v>52</v>
      </c>
      <c r="G25" s="1" t="str">
        <f>VLOOKUP(gminy_26[[#This Row],[kod strefy]],strefy_26[],2,FALSE)</f>
        <v>strefa świętokrzyska</v>
      </c>
      <c r="H25" s="32">
        <v>169880</v>
      </c>
      <c r="I25" s="32">
        <v>0</v>
      </c>
      <c r="J25" s="32">
        <v>6720</v>
      </c>
      <c r="K25" s="32">
        <v>12590</v>
      </c>
      <c r="L25" s="32">
        <v>14260</v>
      </c>
      <c r="M25" s="32">
        <v>42570</v>
      </c>
      <c r="N25" s="32">
        <v>42570</v>
      </c>
      <c r="O25" s="35">
        <v>51170</v>
      </c>
      <c r="P25" s="35">
        <v>1</v>
      </c>
      <c r="Q25" s="35">
        <v>5</v>
      </c>
    </row>
    <row r="26" spans="1:26" hidden="1" x14ac:dyDescent="0.2">
      <c r="A26" s="1" t="s">
        <v>133</v>
      </c>
      <c r="B26" s="1" t="s">
        <v>134</v>
      </c>
      <c r="C26" s="1" t="str">
        <f>gminy_26[[#This Row],[kod gminy]]</f>
        <v>2602012</v>
      </c>
      <c r="D26" s="1" t="s">
        <v>55</v>
      </c>
      <c r="E26" s="1" t="str">
        <f>VLOOKUP(gminy_26[[#This Row],[kod powiatu]],powiaty_26[],katalogi!$B$1,FALSE)</f>
        <v>jędrzejowski</v>
      </c>
      <c r="F26" s="1" t="s">
        <v>52</v>
      </c>
      <c r="G26" s="1" t="str">
        <f>VLOOKUP(gminy_26[[#This Row],[kod strefy]],strefy_26[],2,FALSE)</f>
        <v>strefa świętokrzyska</v>
      </c>
      <c r="H26" s="32">
        <v>47020</v>
      </c>
      <c r="I26" s="32">
        <v>0</v>
      </c>
      <c r="J26" s="32">
        <v>1960</v>
      </c>
      <c r="K26" s="32">
        <v>3670</v>
      </c>
      <c r="L26" s="32">
        <v>4160</v>
      </c>
      <c r="M26" s="32">
        <v>11660</v>
      </c>
      <c r="N26" s="32">
        <v>11660</v>
      </c>
      <c r="O26" s="35">
        <v>13910</v>
      </c>
      <c r="P26" s="35">
        <v>1</v>
      </c>
      <c r="Q26" s="35">
        <v>5</v>
      </c>
    </row>
    <row r="27" spans="1:26" hidden="1" x14ac:dyDescent="0.2">
      <c r="A27" s="1" t="s">
        <v>135</v>
      </c>
      <c r="B27" s="1" t="s">
        <v>136</v>
      </c>
      <c r="C27" s="1" t="str">
        <f>gminy_26[[#This Row],[kod gminy]]</f>
        <v>2606022</v>
      </c>
      <c r="D27" s="1" t="s">
        <v>59</v>
      </c>
      <c r="E27" s="1" t="str">
        <f>VLOOKUP(gminy_26[[#This Row],[kod powiatu]],powiaty_26[],katalogi!$B$1,FALSE)</f>
        <v>opatowski</v>
      </c>
      <c r="F27" s="1" t="s">
        <v>52</v>
      </c>
      <c r="G27" s="1" t="str">
        <f>VLOOKUP(gminy_26[[#This Row],[kod strefy]],strefy_26[],2,FALSE)</f>
        <v>strefa świętokrzyska</v>
      </c>
      <c r="H27" s="32">
        <v>46870</v>
      </c>
      <c r="I27" s="32">
        <v>0</v>
      </c>
      <c r="J27" s="32">
        <v>410</v>
      </c>
      <c r="K27" s="32">
        <v>760</v>
      </c>
      <c r="L27" s="32">
        <v>870</v>
      </c>
      <c r="M27" s="32">
        <v>13550</v>
      </c>
      <c r="N27" s="32">
        <v>13550</v>
      </c>
      <c r="O27" s="35">
        <v>17730</v>
      </c>
      <c r="P27" s="35">
        <v>1</v>
      </c>
      <c r="Q27" s="35">
        <v>20</v>
      </c>
    </row>
    <row r="28" spans="1:26" hidden="1" x14ac:dyDescent="0.2">
      <c r="A28" s="1" t="s">
        <v>137</v>
      </c>
      <c r="B28" s="1" t="s">
        <v>138</v>
      </c>
      <c r="C28" s="1" t="str">
        <f>gminy_26[[#This Row],[kod gminy]]</f>
        <v>2602023</v>
      </c>
      <c r="D28" s="1" t="s">
        <v>55</v>
      </c>
      <c r="E28" s="1" t="str">
        <f>VLOOKUP(gminy_26[[#This Row],[kod powiatu]],powiaty_26[],katalogi!$B$1,FALSE)</f>
        <v>jędrzejowski</v>
      </c>
      <c r="F28" s="1" t="s">
        <v>52</v>
      </c>
      <c r="G28" s="1" t="str">
        <f>VLOOKUP(gminy_26[[#This Row],[kod strefy]],strefy_26[],2,FALSE)</f>
        <v>strefa świętokrzyska</v>
      </c>
      <c r="H28" s="32">
        <v>234240</v>
      </c>
      <c r="I28" s="32">
        <v>0</v>
      </c>
      <c r="J28" s="32">
        <v>9980</v>
      </c>
      <c r="K28" s="32">
        <v>18700</v>
      </c>
      <c r="L28" s="32">
        <v>21200</v>
      </c>
      <c r="M28" s="32">
        <v>57800</v>
      </c>
      <c r="N28" s="32">
        <v>57800</v>
      </c>
      <c r="O28" s="35">
        <v>68760</v>
      </c>
      <c r="P28" s="35">
        <v>1</v>
      </c>
      <c r="Q28" s="35">
        <v>20</v>
      </c>
    </row>
    <row r="29" spans="1:26" hidden="1" x14ac:dyDescent="0.2">
      <c r="A29" s="1" t="s">
        <v>139</v>
      </c>
      <c r="B29" s="1" t="s">
        <v>140</v>
      </c>
      <c r="C29" s="1" t="str">
        <f>gminy_26[[#This Row],[kod gminy]]</f>
        <v>2603033</v>
      </c>
      <c r="D29" s="1" t="s">
        <v>56</v>
      </c>
      <c r="E29" s="1" t="str">
        <f>VLOOKUP(gminy_26[[#This Row],[kod powiatu]],powiaty_26[],katalogi!$B$1,FALSE)</f>
        <v>kazimierski</v>
      </c>
      <c r="F29" s="1" t="s">
        <v>52</v>
      </c>
      <c r="G29" s="1" t="str">
        <f>VLOOKUP(gminy_26[[#This Row],[kod strefy]],strefy_26[],2,FALSE)</f>
        <v>strefa świętokrzyska</v>
      </c>
      <c r="H29" s="32">
        <v>114160</v>
      </c>
      <c r="I29" s="32">
        <v>0</v>
      </c>
      <c r="J29" s="32">
        <v>3240</v>
      </c>
      <c r="K29" s="32">
        <v>6070</v>
      </c>
      <c r="L29" s="32">
        <v>6880</v>
      </c>
      <c r="M29" s="32">
        <v>30200</v>
      </c>
      <c r="N29" s="32">
        <v>30200</v>
      </c>
      <c r="O29" s="35">
        <v>37570</v>
      </c>
      <c r="P29" s="35">
        <v>1</v>
      </c>
      <c r="Q29" s="35">
        <v>20</v>
      </c>
    </row>
    <row r="30" spans="1:26" hidden="1" x14ac:dyDescent="0.2">
      <c r="A30" s="1" t="s">
        <v>141</v>
      </c>
      <c r="B30" s="1" t="s">
        <v>142</v>
      </c>
      <c r="C30" s="1" t="str">
        <f>gminy_26[[#This Row],[kod gminy]]</f>
        <v>2608022</v>
      </c>
      <c r="D30" s="1" t="s">
        <v>61</v>
      </c>
      <c r="E30" s="1" t="str">
        <f>VLOOKUP(gminy_26[[#This Row],[kod powiatu]],powiaty_26[],katalogi!$B$1,FALSE)</f>
        <v>pińczowski</v>
      </c>
      <c r="F30" s="1" t="s">
        <v>52</v>
      </c>
      <c r="G30" s="1" t="str">
        <f>VLOOKUP(gminy_26[[#This Row],[kod strefy]],strefy_26[],2,FALSE)</f>
        <v>strefa świętokrzyska</v>
      </c>
      <c r="H30" s="32">
        <v>46660</v>
      </c>
      <c r="I30" s="32">
        <v>0</v>
      </c>
      <c r="J30" s="32">
        <v>540</v>
      </c>
      <c r="K30" s="32">
        <v>1000</v>
      </c>
      <c r="L30" s="32">
        <v>1130</v>
      </c>
      <c r="M30" s="32">
        <v>13330</v>
      </c>
      <c r="N30" s="32">
        <v>13330</v>
      </c>
      <c r="O30" s="35">
        <v>17330</v>
      </c>
      <c r="P30" s="35">
        <v>1</v>
      </c>
      <c r="Q30" s="35">
        <v>5</v>
      </c>
    </row>
    <row r="31" spans="1:26" hidden="1" x14ac:dyDescent="0.2">
      <c r="A31" s="1" t="s">
        <v>143</v>
      </c>
      <c r="B31" s="1" t="s">
        <v>144</v>
      </c>
      <c r="C31" s="1" t="str">
        <f>gminy_26[[#This Row],[kod gminy]]</f>
        <v>2609032</v>
      </c>
      <c r="D31" s="1" t="s">
        <v>62</v>
      </c>
      <c r="E31" s="1" t="str">
        <f>VLOOKUP(gminy_26[[#This Row],[kod powiatu]],powiaty_26[],katalogi!$B$1,FALSE)</f>
        <v>sandomierski</v>
      </c>
      <c r="F31" s="1" t="s">
        <v>52</v>
      </c>
      <c r="G31" s="1" t="str">
        <f>VLOOKUP(gminy_26[[#This Row],[kod strefy]],strefy_26[],2,FALSE)</f>
        <v>strefa świętokrzyska</v>
      </c>
      <c r="H31" s="32">
        <v>49370</v>
      </c>
      <c r="I31" s="32">
        <v>0</v>
      </c>
      <c r="J31" s="32">
        <v>1660</v>
      </c>
      <c r="K31" s="32">
        <v>3100</v>
      </c>
      <c r="L31" s="32">
        <v>3520</v>
      </c>
      <c r="M31" s="32">
        <v>12740</v>
      </c>
      <c r="N31" s="32">
        <v>12740</v>
      </c>
      <c r="O31" s="35">
        <v>15610</v>
      </c>
      <c r="P31" s="35">
        <v>1</v>
      </c>
      <c r="Q31" s="35">
        <v>20</v>
      </c>
    </row>
    <row r="32" spans="1:26" hidden="1" x14ac:dyDescent="0.2">
      <c r="A32" s="1" t="s">
        <v>145</v>
      </c>
      <c r="B32" s="1" t="s">
        <v>146</v>
      </c>
      <c r="C32" s="1" t="str">
        <f>gminy_26[[#This Row],[kod gminy]]</f>
        <v>2613012</v>
      </c>
      <c r="D32" s="1" t="s">
        <v>66</v>
      </c>
      <c r="E32" s="1" t="str">
        <f>VLOOKUP(gminy_26[[#This Row],[kod powiatu]],powiaty_26[],katalogi!$B$1,FALSE)</f>
        <v>włoszczowski</v>
      </c>
      <c r="F32" s="1" t="s">
        <v>52</v>
      </c>
      <c r="G32" s="1" t="str">
        <f>VLOOKUP(gminy_26[[#This Row],[kod strefy]],strefy_26[],2,FALSE)</f>
        <v>strefa świętokrzyska</v>
      </c>
      <c r="H32" s="32">
        <v>42330</v>
      </c>
      <c r="I32" s="32">
        <v>0</v>
      </c>
      <c r="J32" s="32">
        <v>690</v>
      </c>
      <c r="K32" s="32">
        <v>1290</v>
      </c>
      <c r="L32" s="32">
        <v>1460</v>
      </c>
      <c r="M32" s="32">
        <v>11840</v>
      </c>
      <c r="N32" s="32">
        <v>11840</v>
      </c>
      <c r="O32" s="35">
        <v>15210</v>
      </c>
      <c r="P32" s="35">
        <v>1</v>
      </c>
      <c r="Q32" s="35">
        <v>5</v>
      </c>
    </row>
    <row r="33" spans="1:17" hidden="1" x14ac:dyDescent="0.2">
      <c r="A33" s="1" t="s">
        <v>147</v>
      </c>
      <c r="B33" s="1" t="s">
        <v>148</v>
      </c>
      <c r="C33" s="1" t="str">
        <f>gminy_26[[#This Row],[kod gminy]]</f>
        <v>2605033</v>
      </c>
      <c r="D33" s="1" t="s">
        <v>58</v>
      </c>
      <c r="E33" s="1" t="str">
        <f>VLOOKUP(gminy_26[[#This Row],[kod powiatu]],powiaty_26[],katalogi!$B$1,FALSE)</f>
        <v>konecki</v>
      </c>
      <c r="F33" s="1" t="s">
        <v>52</v>
      </c>
      <c r="G33" s="1" t="str">
        <f>VLOOKUP(gminy_26[[#This Row],[kod strefy]],strefy_26[],2,FALSE)</f>
        <v>strefa świętokrzyska</v>
      </c>
      <c r="H33" s="32">
        <v>265920</v>
      </c>
      <c r="I33" s="32">
        <v>0</v>
      </c>
      <c r="J33" s="32">
        <v>8060</v>
      </c>
      <c r="K33" s="32">
        <v>15100</v>
      </c>
      <c r="L33" s="32">
        <v>17110</v>
      </c>
      <c r="M33" s="32">
        <v>69710</v>
      </c>
      <c r="N33" s="32">
        <v>69710</v>
      </c>
      <c r="O33" s="35">
        <v>86230</v>
      </c>
      <c r="P33" s="35">
        <v>1</v>
      </c>
      <c r="Q33" s="35">
        <v>20</v>
      </c>
    </row>
    <row r="34" spans="1:17" hidden="1" x14ac:dyDescent="0.2">
      <c r="A34" s="1" t="s">
        <v>149</v>
      </c>
      <c r="B34" s="1" t="s">
        <v>150</v>
      </c>
      <c r="C34" s="1" t="str">
        <f>gminy_26[[#This Row],[kod gminy]]</f>
        <v>2609043</v>
      </c>
      <c r="D34" s="1" t="s">
        <v>62</v>
      </c>
      <c r="E34" s="1" t="str">
        <f>VLOOKUP(gminy_26[[#This Row],[kod powiatu]],powiaty_26[],katalogi!$B$1,FALSE)</f>
        <v>sandomierski</v>
      </c>
      <c r="F34" s="1" t="s">
        <v>52</v>
      </c>
      <c r="G34" s="1" t="str">
        <f>VLOOKUP(gminy_26[[#This Row],[kod strefy]],strefy_26[],2,FALSE)</f>
        <v>strefa świętokrzyska</v>
      </c>
      <c r="H34" s="32">
        <v>35130</v>
      </c>
      <c r="I34" s="32">
        <v>0</v>
      </c>
      <c r="J34" s="32">
        <v>1170</v>
      </c>
      <c r="K34" s="32">
        <v>2190</v>
      </c>
      <c r="L34" s="32">
        <v>2480</v>
      </c>
      <c r="M34" s="32">
        <v>9080</v>
      </c>
      <c r="N34" s="32">
        <v>9080</v>
      </c>
      <c r="O34" s="35">
        <v>11130</v>
      </c>
      <c r="P34" s="35">
        <v>1</v>
      </c>
      <c r="Q34" s="35">
        <v>20</v>
      </c>
    </row>
    <row r="35" spans="1:17" hidden="1" x14ac:dyDescent="0.2">
      <c r="A35" s="1" t="s">
        <v>151</v>
      </c>
      <c r="B35" s="1" t="s">
        <v>152</v>
      </c>
      <c r="C35" s="1" t="str">
        <f>gminy_26[[#This Row],[kod gminy]]</f>
        <v>2613022</v>
      </c>
      <c r="D35" s="1" t="s">
        <v>66</v>
      </c>
      <c r="E35" s="1" t="str">
        <f>VLOOKUP(gminy_26[[#This Row],[kod powiatu]],powiaty_26[],katalogi!$B$1,FALSE)</f>
        <v>włoszczowski</v>
      </c>
      <c r="F35" s="1" t="s">
        <v>52</v>
      </c>
      <c r="G35" s="1" t="str">
        <f>VLOOKUP(gminy_26[[#This Row],[kod strefy]],strefy_26[],2,FALSE)</f>
        <v>strefa świętokrzyska</v>
      </c>
      <c r="H35" s="32">
        <v>87860</v>
      </c>
      <c r="I35" s="32">
        <v>0</v>
      </c>
      <c r="J35" s="32">
        <v>1480</v>
      </c>
      <c r="K35" s="32">
        <v>2770</v>
      </c>
      <c r="L35" s="32">
        <v>3140</v>
      </c>
      <c r="M35" s="32">
        <v>24510</v>
      </c>
      <c r="N35" s="32">
        <v>24510</v>
      </c>
      <c r="O35" s="35">
        <v>31450</v>
      </c>
      <c r="P35" s="35">
        <v>1</v>
      </c>
      <c r="Q35" s="35">
        <v>5</v>
      </c>
    </row>
    <row r="36" spans="1:17" hidden="1" x14ac:dyDescent="0.2">
      <c r="A36" s="1" t="s">
        <v>153</v>
      </c>
      <c r="B36" s="1" t="s">
        <v>154</v>
      </c>
      <c r="C36" s="1" t="str">
        <f>gminy_26[[#This Row],[kod gminy]]</f>
        <v>2607053</v>
      </c>
      <c r="D36" s="1" t="s">
        <v>60</v>
      </c>
      <c r="E36" s="1" t="str">
        <f>VLOOKUP(gminy_26[[#This Row],[kod powiatu]],powiaty_26[],katalogi!$B$1,FALSE)</f>
        <v>ostrowiecki</v>
      </c>
      <c r="F36" s="1" t="s">
        <v>52</v>
      </c>
      <c r="G36" s="1" t="str">
        <f>VLOOKUP(gminy_26[[#This Row],[kod strefy]],strefy_26[],2,FALSE)</f>
        <v>strefa świętokrzyska</v>
      </c>
      <c r="H36" s="32">
        <v>95090</v>
      </c>
      <c r="I36" s="32">
        <v>0</v>
      </c>
      <c r="J36" s="32">
        <v>4080</v>
      </c>
      <c r="K36" s="32">
        <v>7650</v>
      </c>
      <c r="L36" s="32">
        <v>8670</v>
      </c>
      <c r="M36" s="32">
        <v>23430</v>
      </c>
      <c r="N36" s="32">
        <v>23430</v>
      </c>
      <c r="O36" s="35">
        <v>27830</v>
      </c>
      <c r="P36" s="35">
        <v>1</v>
      </c>
      <c r="Q36" s="35">
        <v>20</v>
      </c>
    </row>
    <row r="37" spans="1:17" hidden="1" x14ac:dyDescent="0.2">
      <c r="A37" s="1" t="s">
        <v>155</v>
      </c>
      <c r="B37" s="1" t="s">
        <v>156</v>
      </c>
      <c r="C37" s="1" t="str">
        <f>gminy_26[[#This Row],[kod gminy]]</f>
        <v>2606032</v>
      </c>
      <c r="D37" s="1" t="s">
        <v>59</v>
      </c>
      <c r="E37" s="1" t="str">
        <f>VLOOKUP(gminy_26[[#This Row],[kod powiatu]],powiaty_26[],katalogi!$B$1,FALSE)</f>
        <v>opatowski</v>
      </c>
      <c r="F37" s="1" t="s">
        <v>52</v>
      </c>
      <c r="G37" s="1" t="str">
        <f>VLOOKUP(gminy_26[[#This Row],[kod strefy]],strefy_26[],2,FALSE)</f>
        <v>strefa świętokrzyska</v>
      </c>
      <c r="H37" s="32">
        <v>31150</v>
      </c>
      <c r="I37" s="32">
        <v>0</v>
      </c>
      <c r="J37" s="32">
        <v>270</v>
      </c>
      <c r="K37" s="32">
        <v>500</v>
      </c>
      <c r="L37" s="32">
        <v>570</v>
      </c>
      <c r="M37" s="32">
        <v>9010</v>
      </c>
      <c r="N37" s="32">
        <v>9010</v>
      </c>
      <c r="O37" s="35">
        <v>11790</v>
      </c>
      <c r="P37" s="35">
        <v>1</v>
      </c>
      <c r="Q37" s="35">
        <v>5</v>
      </c>
    </row>
    <row r="38" spans="1:17" x14ac:dyDescent="0.2">
      <c r="A38" s="1" t="s">
        <v>157</v>
      </c>
      <c r="B38" s="1" t="s">
        <v>158</v>
      </c>
      <c r="C38" s="1" t="str">
        <f>gminy_26[[#This Row],[kod gminy]]</f>
        <v>2604073</v>
      </c>
      <c r="D38" s="1" t="s">
        <v>57</v>
      </c>
      <c r="E38" s="1" t="str">
        <f>VLOOKUP(gminy_26[[#This Row],[kod powiatu]],powiaty_26[],katalogi!$B$1,FALSE)</f>
        <v>kielecki</v>
      </c>
      <c r="F38" s="1" t="s">
        <v>52</v>
      </c>
      <c r="G38" s="1" t="str">
        <f>VLOOKUP(gminy_26[[#This Row],[kod strefy]],strefy_26[],2,FALSE)</f>
        <v>strefa świętokrzyska</v>
      </c>
      <c r="H38" s="32">
        <v>82040</v>
      </c>
      <c r="I38" s="32">
        <v>0</v>
      </c>
      <c r="J38" s="32">
        <v>3270</v>
      </c>
      <c r="K38" s="32">
        <v>6120</v>
      </c>
      <c r="L38" s="32">
        <v>6940</v>
      </c>
      <c r="M38" s="32">
        <v>20530</v>
      </c>
      <c r="N38" s="32">
        <v>20530</v>
      </c>
      <c r="O38" s="35">
        <v>24650</v>
      </c>
      <c r="P38" s="35">
        <v>1</v>
      </c>
      <c r="Q38" s="35">
        <v>20</v>
      </c>
    </row>
    <row r="39" spans="1:17" hidden="1" x14ac:dyDescent="0.2">
      <c r="A39" s="1" t="s">
        <v>159</v>
      </c>
      <c r="B39" s="1" t="s">
        <v>160</v>
      </c>
      <c r="C39" s="1" t="str">
        <f>gminy_26[[#This Row],[kod gminy]]</f>
        <v>2610032</v>
      </c>
      <c r="D39" s="1" t="s">
        <v>63</v>
      </c>
      <c r="E39" s="1" t="str">
        <f>VLOOKUP(gminy_26[[#This Row],[kod powiatu]],powiaty_26[],katalogi!$B$1,FALSE)</f>
        <v>skarżyski</v>
      </c>
      <c r="F39" s="1" t="s">
        <v>52</v>
      </c>
      <c r="G39" s="1" t="str">
        <f>VLOOKUP(gminy_26[[#This Row],[kod strefy]],strefy_26[],2,FALSE)</f>
        <v>strefa świętokrzyska</v>
      </c>
      <c r="H39" s="32">
        <v>57850</v>
      </c>
      <c r="I39" s="32">
        <v>0</v>
      </c>
      <c r="J39" s="32">
        <v>1520</v>
      </c>
      <c r="K39" s="32">
        <v>2840</v>
      </c>
      <c r="L39" s="32">
        <v>3220</v>
      </c>
      <c r="M39" s="32">
        <v>15460</v>
      </c>
      <c r="N39" s="32">
        <v>15460</v>
      </c>
      <c r="O39" s="35">
        <v>19350</v>
      </c>
      <c r="P39" s="35">
        <v>1</v>
      </c>
      <c r="Q39" s="35">
        <v>5</v>
      </c>
    </row>
    <row r="40" spans="1:17" hidden="1" x14ac:dyDescent="0.2">
      <c r="A40" s="1" t="s">
        <v>161</v>
      </c>
      <c r="B40" s="1" t="s">
        <v>162</v>
      </c>
      <c r="C40" s="1" t="str">
        <f>gminy_26[[#This Row],[kod gminy]]</f>
        <v>2609052</v>
      </c>
      <c r="D40" s="1" t="s">
        <v>62</v>
      </c>
      <c r="E40" s="1" t="str">
        <f>VLOOKUP(gminy_26[[#This Row],[kod powiatu]],powiaty_26[],katalogi!$B$1,FALSE)</f>
        <v>sandomierski</v>
      </c>
      <c r="F40" s="1" t="s">
        <v>52</v>
      </c>
      <c r="G40" s="1" t="str">
        <f>VLOOKUP(gminy_26[[#This Row],[kod strefy]],strefy_26[],2,FALSE)</f>
        <v>strefa świętokrzyska</v>
      </c>
      <c r="H40" s="32">
        <v>43970</v>
      </c>
      <c r="I40" s="32">
        <v>0</v>
      </c>
      <c r="J40" s="32">
        <v>1480</v>
      </c>
      <c r="K40" s="32">
        <v>2760</v>
      </c>
      <c r="L40" s="32">
        <v>3130</v>
      </c>
      <c r="M40" s="32">
        <v>11350</v>
      </c>
      <c r="N40" s="32">
        <v>11350</v>
      </c>
      <c r="O40" s="35">
        <v>13900</v>
      </c>
      <c r="P40" s="35">
        <v>1</v>
      </c>
      <c r="Q40" s="35">
        <v>5</v>
      </c>
    </row>
    <row r="41" spans="1:17" x14ac:dyDescent="0.2">
      <c r="A41" s="1" t="s">
        <v>163</v>
      </c>
      <c r="B41" s="1" t="s">
        <v>164</v>
      </c>
      <c r="C41" s="1" t="str">
        <f>gminy_26[[#This Row],[kod gminy]]</f>
        <v>2604082</v>
      </c>
      <c r="D41" s="1" t="s">
        <v>57</v>
      </c>
      <c r="E41" s="1" t="str">
        <f>VLOOKUP(gminy_26[[#This Row],[kod powiatu]],powiaty_26[],katalogi!$B$1,FALSE)</f>
        <v>kielecki</v>
      </c>
      <c r="F41" s="1" t="s">
        <v>52</v>
      </c>
      <c r="G41" s="1" t="str">
        <f>VLOOKUP(gminy_26[[#This Row],[kod strefy]],strefy_26[],2,FALSE)</f>
        <v>strefa świętokrzyska</v>
      </c>
      <c r="H41" s="32">
        <v>107740</v>
      </c>
      <c r="I41" s="32">
        <v>0</v>
      </c>
      <c r="J41" s="32">
        <v>4300</v>
      </c>
      <c r="K41" s="32">
        <v>8060</v>
      </c>
      <c r="L41" s="32">
        <v>9130</v>
      </c>
      <c r="M41" s="32">
        <v>26950</v>
      </c>
      <c r="N41" s="32">
        <v>26950</v>
      </c>
      <c r="O41" s="35">
        <v>32350</v>
      </c>
      <c r="P41" s="35">
        <v>1</v>
      </c>
      <c r="Q41" s="35">
        <v>20</v>
      </c>
    </row>
    <row r="42" spans="1:17" hidden="1" x14ac:dyDescent="0.2">
      <c r="A42" s="1" t="s">
        <v>165</v>
      </c>
      <c r="B42" s="1" t="s">
        <v>166</v>
      </c>
      <c r="C42" s="1" t="str">
        <f>gminy_26[[#This Row],[kod gminy]]</f>
        <v>2612022</v>
      </c>
      <c r="D42" s="1" t="s">
        <v>65</v>
      </c>
      <c r="E42" s="1" t="str">
        <f>VLOOKUP(gminy_26[[#This Row],[kod powiatu]],powiaty_26[],katalogi!$B$1,FALSE)</f>
        <v>staszowski</v>
      </c>
      <c r="F42" s="1" t="s">
        <v>52</v>
      </c>
      <c r="G42" s="1" t="str">
        <f>VLOOKUP(gminy_26[[#This Row],[kod strefy]],strefy_26[],2,FALSE)</f>
        <v>strefa świętokrzyska</v>
      </c>
      <c r="H42" s="32">
        <v>41970</v>
      </c>
      <c r="I42" s="32">
        <v>0</v>
      </c>
      <c r="J42" s="32">
        <v>2440</v>
      </c>
      <c r="K42" s="32">
        <v>4580</v>
      </c>
      <c r="L42" s="32">
        <v>5180</v>
      </c>
      <c r="M42" s="32">
        <v>9540</v>
      </c>
      <c r="N42" s="32">
        <v>9540</v>
      </c>
      <c r="O42" s="35">
        <v>10690</v>
      </c>
      <c r="P42" s="35">
        <v>1</v>
      </c>
      <c r="Q42" s="35">
        <v>5</v>
      </c>
    </row>
    <row r="43" spans="1:17" hidden="1" x14ac:dyDescent="0.2">
      <c r="A43" s="1" t="s">
        <v>167</v>
      </c>
      <c r="B43" s="1" t="s">
        <v>168</v>
      </c>
      <c r="C43" s="1" t="str">
        <f>gminy_26[[#This Row],[kod gminy]]</f>
        <v>2602033</v>
      </c>
      <c r="D43" s="1" t="s">
        <v>55</v>
      </c>
      <c r="E43" s="1" t="str">
        <f>VLOOKUP(gminy_26[[#This Row],[kod powiatu]],powiaty_26[],katalogi!$B$1,FALSE)</f>
        <v>jędrzejowski</v>
      </c>
      <c r="F43" s="1" t="s">
        <v>52</v>
      </c>
      <c r="G43" s="1" t="str">
        <f>VLOOKUP(gminy_26[[#This Row],[kod strefy]],strefy_26[],2,FALSE)</f>
        <v>strefa świętokrzyska</v>
      </c>
      <c r="H43" s="32">
        <v>124450</v>
      </c>
      <c r="I43" s="32">
        <v>0</v>
      </c>
      <c r="J43" s="32">
        <v>5290</v>
      </c>
      <c r="K43" s="32">
        <v>9920</v>
      </c>
      <c r="L43" s="32">
        <v>11250</v>
      </c>
      <c r="M43" s="32">
        <v>30720</v>
      </c>
      <c r="N43" s="32">
        <v>30720</v>
      </c>
      <c r="O43" s="35">
        <v>36550</v>
      </c>
      <c r="P43" s="35">
        <v>1</v>
      </c>
      <c r="Q43" s="35">
        <v>20</v>
      </c>
    </row>
    <row r="44" spans="1:17" x14ac:dyDescent="0.2">
      <c r="A44" s="1" t="s">
        <v>169</v>
      </c>
      <c r="B44" s="1" t="s">
        <v>170</v>
      </c>
      <c r="C44" s="1" t="str">
        <f>gminy_26[[#This Row],[kod gminy]]</f>
        <v>2604092</v>
      </c>
      <c r="D44" s="1" t="s">
        <v>57</v>
      </c>
      <c r="E44" s="1" t="str">
        <f>VLOOKUP(gminy_26[[#This Row],[kod powiatu]],powiaty_26[],katalogi!$B$1,FALSE)</f>
        <v>kielecki</v>
      </c>
      <c r="F44" s="1" t="s">
        <v>52</v>
      </c>
      <c r="G44" s="1" t="str">
        <f>VLOOKUP(gminy_26[[#This Row],[kod strefy]],strefy_26[],2,FALSE)</f>
        <v>strefa świętokrzyska</v>
      </c>
      <c r="H44" s="32">
        <v>121970</v>
      </c>
      <c r="I44" s="32">
        <v>0</v>
      </c>
      <c r="J44" s="32">
        <v>4710</v>
      </c>
      <c r="K44" s="32">
        <v>8820</v>
      </c>
      <c r="L44" s="32">
        <v>10000</v>
      </c>
      <c r="M44" s="32">
        <v>30710</v>
      </c>
      <c r="N44" s="32">
        <v>30710</v>
      </c>
      <c r="O44" s="35">
        <v>37020</v>
      </c>
      <c r="P44" s="35">
        <v>1</v>
      </c>
      <c r="Q44" s="35">
        <v>5</v>
      </c>
    </row>
    <row r="45" spans="1:17" hidden="1" x14ac:dyDescent="0.2">
      <c r="A45" s="1" t="s">
        <v>171</v>
      </c>
      <c r="B45" s="1" t="s">
        <v>172</v>
      </c>
      <c r="C45" s="1" t="str">
        <f>gminy_26[[#This Row],[kod gminy]]</f>
        <v>2608032</v>
      </c>
      <c r="D45" s="1" t="s">
        <v>61</v>
      </c>
      <c r="E45" s="1" t="str">
        <f>VLOOKUP(gminy_26[[#This Row],[kod powiatu]],powiaty_26[],katalogi!$B$1,FALSE)</f>
        <v>pińczowski</v>
      </c>
      <c r="F45" s="1" t="s">
        <v>52</v>
      </c>
      <c r="G45" s="1" t="str">
        <f>VLOOKUP(gminy_26[[#This Row],[kod strefy]],strefy_26[],2,FALSE)</f>
        <v>strefa świętokrzyska</v>
      </c>
      <c r="H45" s="32">
        <v>49620</v>
      </c>
      <c r="I45" s="32">
        <v>0</v>
      </c>
      <c r="J45" s="32">
        <v>610</v>
      </c>
      <c r="K45" s="32">
        <v>1150</v>
      </c>
      <c r="L45" s="32">
        <v>1300</v>
      </c>
      <c r="M45" s="32">
        <v>14120</v>
      </c>
      <c r="N45" s="32">
        <v>14120</v>
      </c>
      <c r="O45" s="35">
        <v>18320</v>
      </c>
      <c r="P45" s="35">
        <v>1</v>
      </c>
      <c r="Q45" s="35">
        <v>5</v>
      </c>
    </row>
    <row r="46" spans="1:17" x14ac:dyDescent="0.2">
      <c r="A46" s="1" t="s">
        <v>173</v>
      </c>
      <c r="B46" s="1" t="s">
        <v>174</v>
      </c>
      <c r="C46" s="1" t="str">
        <f>gminy_26[[#This Row],[kod gminy]]</f>
        <v>2604102</v>
      </c>
      <c r="D46" s="1" t="s">
        <v>57</v>
      </c>
      <c r="E46" s="1" t="str">
        <f>VLOOKUP(gminy_26[[#This Row],[kod powiatu]],powiaty_26[],katalogi!$B$1,FALSE)</f>
        <v>kielecki</v>
      </c>
      <c r="F46" s="1" t="s">
        <v>52</v>
      </c>
      <c r="G46" s="1" t="str">
        <f>VLOOKUP(gminy_26[[#This Row],[kod strefy]],strefy_26[],2,FALSE)</f>
        <v>strefa świętokrzyska</v>
      </c>
      <c r="H46" s="32">
        <v>122280</v>
      </c>
      <c r="I46" s="32">
        <v>0</v>
      </c>
      <c r="J46" s="32">
        <v>4790</v>
      </c>
      <c r="K46" s="32">
        <v>8980</v>
      </c>
      <c r="L46" s="32">
        <v>10170</v>
      </c>
      <c r="M46" s="32">
        <v>30700</v>
      </c>
      <c r="N46" s="32">
        <v>30700</v>
      </c>
      <c r="O46" s="35">
        <v>36940</v>
      </c>
      <c r="P46" s="35">
        <v>1</v>
      </c>
      <c r="Q46" s="35">
        <v>5</v>
      </c>
    </row>
    <row r="47" spans="1:17" hidden="1" x14ac:dyDescent="0.2">
      <c r="A47" s="1" t="s">
        <v>175</v>
      </c>
      <c r="B47" s="1" t="s">
        <v>176</v>
      </c>
      <c r="C47" s="1" t="str">
        <f>gminy_26[[#This Row],[kod gminy]]</f>
        <v>2611032</v>
      </c>
      <c r="D47" s="1" t="s">
        <v>64</v>
      </c>
      <c r="E47" s="1" t="str">
        <f>VLOOKUP(gminy_26[[#This Row],[kod powiatu]],powiaty_26[],katalogi!$B$1,FALSE)</f>
        <v>starachowicki</v>
      </c>
      <c r="F47" s="1" t="s">
        <v>52</v>
      </c>
      <c r="G47" s="1" t="str">
        <f>VLOOKUP(gminy_26[[#This Row],[kod strefy]],strefy_26[],2,FALSE)</f>
        <v>strefa świętokrzyska</v>
      </c>
      <c r="H47" s="32">
        <v>84100</v>
      </c>
      <c r="I47" s="32">
        <v>0</v>
      </c>
      <c r="J47" s="32">
        <v>2380</v>
      </c>
      <c r="K47" s="32">
        <v>4460</v>
      </c>
      <c r="L47" s="32">
        <v>5050</v>
      </c>
      <c r="M47" s="32">
        <v>22260</v>
      </c>
      <c r="N47" s="32">
        <v>22260</v>
      </c>
      <c r="O47" s="35">
        <v>27690</v>
      </c>
      <c r="P47" s="35">
        <v>1</v>
      </c>
      <c r="Q47" s="35">
        <v>5</v>
      </c>
    </row>
    <row r="48" spans="1:17" x14ac:dyDescent="0.2">
      <c r="A48" s="1" t="s">
        <v>177</v>
      </c>
      <c r="B48" s="1" t="s">
        <v>178</v>
      </c>
      <c r="C48" s="1" t="str">
        <f>gminy_26[[#This Row],[kod gminy]]</f>
        <v>2604112</v>
      </c>
      <c r="D48" s="1" t="s">
        <v>57</v>
      </c>
      <c r="E48" s="1" t="str">
        <f>VLOOKUP(gminy_26[[#This Row],[kod powiatu]],powiaty_26[],katalogi!$B$1,FALSE)</f>
        <v>kielecki</v>
      </c>
      <c r="F48" s="1" t="s">
        <v>52</v>
      </c>
      <c r="G48" s="1" t="str">
        <f>VLOOKUP(gminy_26[[#This Row],[kod strefy]],strefy_26[],2,FALSE)</f>
        <v>strefa świętokrzyska</v>
      </c>
      <c r="H48" s="32">
        <v>112730</v>
      </c>
      <c r="I48" s="32">
        <v>0</v>
      </c>
      <c r="J48" s="32">
        <v>4530</v>
      </c>
      <c r="K48" s="32">
        <v>8490</v>
      </c>
      <c r="L48" s="32">
        <v>9620</v>
      </c>
      <c r="M48" s="32">
        <v>28160</v>
      </c>
      <c r="N48" s="32">
        <v>28160</v>
      </c>
      <c r="O48" s="35">
        <v>33770</v>
      </c>
      <c r="P48" s="35">
        <v>1</v>
      </c>
      <c r="Q48" s="35">
        <v>5</v>
      </c>
    </row>
    <row r="49" spans="1:17" x14ac:dyDescent="0.2">
      <c r="A49" s="1" t="s">
        <v>179</v>
      </c>
      <c r="B49" s="1" t="s">
        <v>180</v>
      </c>
      <c r="C49" s="1" t="str">
        <f>gminy_26[[#This Row],[kod gminy]]</f>
        <v>2604123</v>
      </c>
      <c r="D49" s="1" t="s">
        <v>57</v>
      </c>
      <c r="E49" s="1" t="str">
        <f>VLOOKUP(gminy_26[[#This Row],[kod powiatu]],powiaty_26[],katalogi!$B$1,FALSE)</f>
        <v>kielecki</v>
      </c>
      <c r="F49" s="1" t="s">
        <v>52</v>
      </c>
      <c r="G49" s="1" t="str">
        <f>VLOOKUP(gminy_26[[#This Row],[kod strefy]],strefy_26[],2,FALSE)</f>
        <v>strefa świętokrzyska</v>
      </c>
      <c r="H49" s="32">
        <v>162640</v>
      </c>
      <c r="I49" s="32">
        <v>0</v>
      </c>
      <c r="J49" s="32">
        <v>6360</v>
      </c>
      <c r="K49" s="32">
        <v>11910</v>
      </c>
      <c r="L49" s="32">
        <v>13500</v>
      </c>
      <c r="M49" s="32">
        <v>40850</v>
      </c>
      <c r="N49" s="32">
        <v>40850</v>
      </c>
      <c r="O49" s="35">
        <v>49170</v>
      </c>
      <c r="P49" s="35">
        <v>1</v>
      </c>
      <c r="Q49" s="35">
        <v>20</v>
      </c>
    </row>
    <row r="50" spans="1:17" hidden="1" x14ac:dyDescent="0.2">
      <c r="A50" s="1" t="s">
        <v>181</v>
      </c>
      <c r="B50" s="1" t="s">
        <v>182</v>
      </c>
      <c r="C50" s="1" t="str">
        <f>gminy_26[[#This Row],[kod gminy]]</f>
        <v>2613032</v>
      </c>
      <c r="D50" s="1" t="s">
        <v>66</v>
      </c>
      <c r="E50" s="1" t="str">
        <f>VLOOKUP(gminy_26[[#This Row],[kod powiatu]],powiaty_26[],katalogi!$B$1,FALSE)</f>
        <v>włoszczowski</v>
      </c>
      <c r="F50" s="1" t="s">
        <v>52</v>
      </c>
      <c r="G50" s="1" t="str">
        <f>VLOOKUP(gminy_26[[#This Row],[kod strefy]],strefy_26[],2,FALSE)</f>
        <v>strefa świętokrzyska</v>
      </c>
      <c r="H50" s="32">
        <v>21530</v>
      </c>
      <c r="I50" s="32">
        <v>0</v>
      </c>
      <c r="J50" s="32">
        <v>320</v>
      </c>
      <c r="K50" s="32">
        <v>600</v>
      </c>
      <c r="L50" s="32">
        <v>680</v>
      </c>
      <c r="M50" s="32">
        <v>6060</v>
      </c>
      <c r="N50" s="32">
        <v>6060</v>
      </c>
      <c r="O50" s="35">
        <v>7810</v>
      </c>
      <c r="P50" s="35">
        <v>1</v>
      </c>
      <c r="Q50" s="35">
        <v>5</v>
      </c>
    </row>
    <row r="51" spans="1:17" hidden="1" x14ac:dyDescent="0.2">
      <c r="A51" s="1" t="s">
        <v>183</v>
      </c>
      <c r="B51" s="1" t="s">
        <v>184</v>
      </c>
      <c r="C51" s="1" t="str">
        <f>gminy_26[[#This Row],[kod gminy]]</f>
        <v>2602042</v>
      </c>
      <c r="D51" s="1" t="s">
        <v>55</v>
      </c>
      <c r="E51" s="1" t="str">
        <f>VLOOKUP(gminy_26[[#This Row],[kod powiatu]],powiaty_26[],katalogi!$B$1,FALSE)</f>
        <v>jędrzejowski</v>
      </c>
      <c r="F51" s="1" t="s">
        <v>52</v>
      </c>
      <c r="G51" s="1" t="str">
        <f>VLOOKUP(gminy_26[[#This Row],[kod strefy]],strefy_26[],2,FALSE)</f>
        <v>strefa świętokrzyska</v>
      </c>
      <c r="H51" s="32">
        <v>53810</v>
      </c>
      <c r="I51" s="32">
        <v>0</v>
      </c>
      <c r="J51" s="32">
        <v>2280</v>
      </c>
      <c r="K51" s="32">
        <v>4260</v>
      </c>
      <c r="L51" s="32">
        <v>4830</v>
      </c>
      <c r="M51" s="32">
        <v>13300</v>
      </c>
      <c r="N51" s="32">
        <v>13300</v>
      </c>
      <c r="O51" s="35">
        <v>15840</v>
      </c>
      <c r="P51" s="35">
        <v>1</v>
      </c>
      <c r="Q51" s="35">
        <v>5</v>
      </c>
    </row>
    <row r="52" spans="1:17" x14ac:dyDescent="0.2">
      <c r="A52" s="1" t="s">
        <v>185</v>
      </c>
      <c r="B52" s="1" t="s">
        <v>186</v>
      </c>
      <c r="C52" s="1" t="str">
        <f>gminy_26[[#This Row],[kod gminy]]</f>
        <v>2604132</v>
      </c>
      <c r="D52" s="1" t="s">
        <v>57</v>
      </c>
      <c r="E52" s="1" t="str">
        <f>VLOOKUP(gminy_26[[#This Row],[kod powiatu]],powiaty_26[],katalogi!$B$1,FALSE)</f>
        <v>kielecki</v>
      </c>
      <c r="F52" s="1" t="s">
        <v>52</v>
      </c>
      <c r="G52" s="1" t="str">
        <f>VLOOKUP(gminy_26[[#This Row],[kod strefy]],strefy_26[],2,FALSE)</f>
        <v>strefa świętokrzyska</v>
      </c>
      <c r="H52" s="32">
        <v>113030</v>
      </c>
      <c r="I52" s="32">
        <v>0</v>
      </c>
      <c r="J52" s="32">
        <v>4500</v>
      </c>
      <c r="K52" s="32">
        <v>8430</v>
      </c>
      <c r="L52" s="32">
        <v>9550</v>
      </c>
      <c r="M52" s="32">
        <v>28290</v>
      </c>
      <c r="N52" s="32">
        <v>28290</v>
      </c>
      <c r="O52" s="35">
        <v>33970</v>
      </c>
      <c r="P52" s="35">
        <v>1</v>
      </c>
      <c r="Q52" s="35">
        <v>20</v>
      </c>
    </row>
    <row r="53" spans="1:17" x14ac:dyDescent="0.2">
      <c r="A53" s="1" t="s">
        <v>236</v>
      </c>
      <c r="B53" s="1" t="s">
        <v>424</v>
      </c>
      <c r="C53" s="1" t="str">
        <f>gminy_26[[#This Row],[kod gminy]]</f>
        <v>2604172</v>
      </c>
      <c r="D53" s="1" t="s">
        <v>57</v>
      </c>
      <c r="E53" s="1" t="str">
        <f>VLOOKUP(gminy_26[[#This Row],[kod powiatu]],powiaty_26[],katalogi!$B$1,FALSE)</f>
        <v>kielecki</v>
      </c>
      <c r="F53" s="1" t="s">
        <v>52</v>
      </c>
      <c r="G53" s="1" t="str">
        <f>VLOOKUP(gminy_26[[#This Row],[kod strefy]],strefy_26[],2,FALSE)</f>
        <v>strefa świętokrzyska</v>
      </c>
      <c r="H53" s="32">
        <v>88770</v>
      </c>
      <c r="I53" s="32">
        <v>0</v>
      </c>
      <c r="J53" s="32">
        <v>3530</v>
      </c>
      <c r="K53" s="32">
        <v>6620</v>
      </c>
      <c r="L53" s="32">
        <v>7500</v>
      </c>
      <c r="M53" s="32">
        <v>22220</v>
      </c>
      <c r="N53" s="32">
        <v>22220</v>
      </c>
      <c r="O53" s="35">
        <v>26680</v>
      </c>
      <c r="P53" s="35">
        <v>1</v>
      </c>
      <c r="Q53" s="35">
        <v>5</v>
      </c>
    </row>
    <row r="54" spans="1:17" hidden="1" x14ac:dyDescent="0.2">
      <c r="A54" s="1" t="s">
        <v>187</v>
      </c>
      <c r="B54" s="1" t="s">
        <v>188</v>
      </c>
      <c r="C54" s="1" t="str">
        <f>gminy_26[[#This Row],[kod gminy]]</f>
        <v>2601032</v>
      </c>
      <c r="D54" s="1" t="s">
        <v>54</v>
      </c>
      <c r="E54" s="1" t="str">
        <f>VLOOKUP(gminy_26[[#This Row],[kod powiatu]],powiaty_26[],katalogi!$B$1,FALSE)</f>
        <v>buski</v>
      </c>
      <c r="F54" s="1" t="s">
        <v>52</v>
      </c>
      <c r="G54" s="1" t="str">
        <f>VLOOKUP(gminy_26[[#This Row],[kod strefy]],strefy_26[],2,FALSE)</f>
        <v>strefa świętokrzyska</v>
      </c>
      <c r="H54" s="32">
        <v>52400</v>
      </c>
      <c r="I54" s="32">
        <v>0</v>
      </c>
      <c r="J54" s="32">
        <v>2210</v>
      </c>
      <c r="K54" s="32">
        <v>4140</v>
      </c>
      <c r="L54" s="32">
        <v>4690</v>
      </c>
      <c r="M54" s="32">
        <v>12960</v>
      </c>
      <c r="N54" s="32">
        <v>12960</v>
      </c>
      <c r="O54" s="35">
        <v>15440</v>
      </c>
      <c r="P54" s="35">
        <v>1</v>
      </c>
      <c r="Q54" s="35">
        <v>20</v>
      </c>
    </row>
    <row r="55" spans="1:17" hidden="1" x14ac:dyDescent="0.2">
      <c r="A55" s="1" t="s">
        <v>189</v>
      </c>
      <c r="B55" s="1" t="s">
        <v>190</v>
      </c>
      <c r="C55" s="1" t="str">
        <f>gminy_26[[#This Row],[kod gminy]]</f>
        <v>2609062</v>
      </c>
      <c r="D55" s="1" t="s">
        <v>62</v>
      </c>
      <c r="E55" s="1" t="str">
        <f>VLOOKUP(gminy_26[[#This Row],[kod powiatu]],powiaty_26[],katalogi!$B$1,FALSE)</f>
        <v>sandomierski</v>
      </c>
      <c r="F55" s="1" t="s">
        <v>52</v>
      </c>
      <c r="G55" s="1" t="str">
        <f>VLOOKUP(gminy_26[[#This Row],[kod strefy]],strefy_26[],2,FALSE)</f>
        <v>strefa świętokrzyska</v>
      </c>
      <c r="H55" s="32">
        <v>29580</v>
      </c>
      <c r="I55" s="32">
        <v>0</v>
      </c>
      <c r="J55" s="32">
        <v>980</v>
      </c>
      <c r="K55" s="32">
        <v>1830</v>
      </c>
      <c r="L55" s="32">
        <v>2080</v>
      </c>
      <c r="M55" s="32">
        <v>7650</v>
      </c>
      <c r="N55" s="32">
        <v>7650</v>
      </c>
      <c r="O55" s="35">
        <v>9390</v>
      </c>
      <c r="P55" s="35">
        <v>1</v>
      </c>
      <c r="Q55" s="35">
        <v>5</v>
      </c>
    </row>
    <row r="56" spans="1:17" hidden="1" x14ac:dyDescent="0.2">
      <c r="A56" s="1" t="s">
        <v>191</v>
      </c>
      <c r="B56" s="1" t="s">
        <v>192</v>
      </c>
      <c r="C56" s="1" t="str">
        <f>gminy_26[[#This Row],[kod gminy]]</f>
        <v>2602052</v>
      </c>
      <c r="D56" s="1" t="s">
        <v>55</v>
      </c>
      <c r="E56" s="1" t="str">
        <f>VLOOKUP(gminy_26[[#This Row],[kod powiatu]],powiaty_26[],katalogi!$B$1,FALSE)</f>
        <v>jędrzejowski</v>
      </c>
      <c r="F56" s="1" t="s">
        <v>52</v>
      </c>
      <c r="G56" s="1" t="str">
        <f>VLOOKUP(gminy_26[[#This Row],[kod strefy]],strefy_26[],2,FALSE)</f>
        <v>strefa świętokrzyska</v>
      </c>
      <c r="H56" s="32">
        <v>49080</v>
      </c>
      <c r="I56" s="32">
        <v>0</v>
      </c>
      <c r="J56" s="32">
        <v>2050</v>
      </c>
      <c r="K56" s="32">
        <v>3830</v>
      </c>
      <c r="L56" s="32">
        <v>4340</v>
      </c>
      <c r="M56" s="32">
        <v>12170</v>
      </c>
      <c r="N56" s="32">
        <v>12170</v>
      </c>
      <c r="O56" s="35">
        <v>14520</v>
      </c>
      <c r="P56" s="35">
        <v>1</v>
      </c>
      <c r="Q56" s="35">
        <v>5</v>
      </c>
    </row>
    <row r="57" spans="1:17" hidden="1" x14ac:dyDescent="0.2">
      <c r="A57" s="1" t="s">
        <v>193</v>
      </c>
      <c r="B57" s="1" t="s">
        <v>194</v>
      </c>
      <c r="C57" s="1" t="str">
        <f>gminy_26[[#This Row],[kod gminy]]</f>
        <v>2612032</v>
      </c>
      <c r="D57" s="1" t="s">
        <v>65</v>
      </c>
      <c r="E57" s="1" t="str">
        <f>VLOOKUP(gminy_26[[#This Row],[kod powiatu]],powiaty_26[],katalogi!$B$1,FALSE)</f>
        <v>staszowski</v>
      </c>
      <c r="F57" s="1" t="s">
        <v>52</v>
      </c>
      <c r="G57" s="1" t="str">
        <f>VLOOKUP(gminy_26[[#This Row],[kod strefy]],strefy_26[],2,FALSE)</f>
        <v>strefa świętokrzyska</v>
      </c>
      <c r="H57" s="32">
        <v>32250</v>
      </c>
      <c r="I57" s="32">
        <v>0</v>
      </c>
      <c r="J57" s="32">
        <v>1920</v>
      </c>
      <c r="K57" s="32">
        <v>3590</v>
      </c>
      <c r="L57" s="32">
        <v>4060</v>
      </c>
      <c r="M57" s="32">
        <v>7280</v>
      </c>
      <c r="N57" s="32">
        <v>7280</v>
      </c>
      <c r="O57" s="35">
        <v>8120</v>
      </c>
      <c r="P57" s="35">
        <v>1</v>
      </c>
      <c r="Q57" s="35">
        <v>20</v>
      </c>
    </row>
    <row r="58" spans="1:17" hidden="1" x14ac:dyDescent="0.2">
      <c r="A58" s="1" t="s">
        <v>195</v>
      </c>
      <c r="B58" s="1" t="s">
        <v>196</v>
      </c>
      <c r="C58" s="1" t="str">
        <f>gminy_26[[#This Row],[kod gminy]]</f>
        <v>2603042</v>
      </c>
      <c r="D58" s="1" t="s">
        <v>56</v>
      </c>
      <c r="E58" s="1" t="str">
        <f>VLOOKUP(gminy_26[[#This Row],[kod powiatu]],powiaty_26[],katalogi!$B$1,FALSE)</f>
        <v>kazimierski</v>
      </c>
      <c r="F58" s="1" t="s">
        <v>52</v>
      </c>
      <c r="G58" s="1" t="str">
        <f>VLOOKUP(gminy_26[[#This Row],[kod strefy]],strefy_26[],2,FALSE)</f>
        <v>strefa świętokrzyska</v>
      </c>
      <c r="H58" s="32">
        <v>23710</v>
      </c>
      <c r="I58" s="32">
        <v>0</v>
      </c>
      <c r="J58" s="32">
        <v>630</v>
      </c>
      <c r="K58" s="32">
        <v>1170</v>
      </c>
      <c r="L58" s="32">
        <v>1330</v>
      </c>
      <c r="M58" s="32">
        <v>6330</v>
      </c>
      <c r="N58" s="32">
        <v>6330</v>
      </c>
      <c r="O58" s="35">
        <v>7920</v>
      </c>
      <c r="P58" s="35">
        <v>1</v>
      </c>
      <c r="Q58" s="35">
        <v>20</v>
      </c>
    </row>
    <row r="59" spans="1:17" hidden="1" x14ac:dyDescent="0.2">
      <c r="A59" s="1" t="s">
        <v>197</v>
      </c>
      <c r="B59" s="1" t="s">
        <v>16</v>
      </c>
      <c r="C59" s="1" t="str">
        <f>gminy_26[[#This Row],[kod gminy]]</f>
        <v>2606043</v>
      </c>
      <c r="D59" s="1" t="s">
        <v>59</v>
      </c>
      <c r="E59" s="1" t="str">
        <f>VLOOKUP(gminy_26[[#This Row],[kod powiatu]],powiaty_26[],katalogi!$B$1,FALSE)</f>
        <v>opatowski</v>
      </c>
      <c r="F59" s="1" t="s">
        <v>52</v>
      </c>
      <c r="G59" s="1" t="str">
        <f>VLOOKUP(gminy_26[[#This Row],[kod strefy]],strefy_26[],2,FALSE)</f>
        <v>strefa świętokrzyska</v>
      </c>
      <c r="H59" s="32">
        <v>55640</v>
      </c>
      <c r="I59" s="32">
        <v>0</v>
      </c>
      <c r="J59" s="32">
        <v>470</v>
      </c>
      <c r="K59" s="32">
        <v>870</v>
      </c>
      <c r="L59" s="32">
        <v>990</v>
      </c>
      <c r="M59" s="32">
        <v>16110</v>
      </c>
      <c r="N59" s="32">
        <v>16110</v>
      </c>
      <c r="O59" s="35">
        <v>21090</v>
      </c>
      <c r="P59" s="35">
        <v>1</v>
      </c>
      <c r="Q59" s="35">
        <v>20</v>
      </c>
    </row>
    <row r="60" spans="1:17" hidden="1" x14ac:dyDescent="0.2">
      <c r="A60" s="1" t="s">
        <v>198</v>
      </c>
      <c r="B60" s="1" t="s">
        <v>199</v>
      </c>
      <c r="C60" s="1" t="str">
        <f>gminy_26[[#This Row],[kod gminy]]</f>
        <v>2612043</v>
      </c>
      <c r="D60" s="1" t="s">
        <v>65</v>
      </c>
      <c r="E60" s="1" t="str">
        <f>VLOOKUP(gminy_26[[#This Row],[kod powiatu]],powiaty_26[],katalogi!$B$1,FALSE)</f>
        <v>staszowski</v>
      </c>
      <c r="F60" s="1" t="s">
        <v>52</v>
      </c>
      <c r="G60" s="1" t="str">
        <f>VLOOKUP(gminy_26[[#This Row],[kod strefy]],strefy_26[],2,FALSE)</f>
        <v>strefa świętokrzyska</v>
      </c>
      <c r="H60" s="32">
        <v>80780</v>
      </c>
      <c r="I60" s="32">
        <v>0</v>
      </c>
      <c r="J60" s="32">
        <v>4780</v>
      </c>
      <c r="K60" s="32">
        <v>8960</v>
      </c>
      <c r="L60" s="32">
        <v>10150</v>
      </c>
      <c r="M60" s="32">
        <v>18260</v>
      </c>
      <c r="N60" s="32">
        <v>18260</v>
      </c>
      <c r="O60" s="35">
        <v>20370</v>
      </c>
      <c r="P60" s="35">
        <v>1</v>
      </c>
      <c r="Q60" s="35">
        <v>20</v>
      </c>
    </row>
    <row r="61" spans="1:17" hidden="1" x14ac:dyDescent="0.2">
      <c r="A61" s="1" t="s">
        <v>200</v>
      </c>
      <c r="B61" s="1" t="s">
        <v>201</v>
      </c>
      <c r="C61" s="1" t="str">
        <f>gminy_26[[#This Row],[kod gminy]]</f>
        <v>2607011</v>
      </c>
      <c r="D61" s="1" t="s">
        <v>60</v>
      </c>
      <c r="E61" s="1" t="str">
        <f>VLOOKUP(gminy_26[[#This Row],[kod powiatu]],powiaty_26[],katalogi!$B$1,FALSE)</f>
        <v>ostrowiecki</v>
      </c>
      <c r="F61" s="1" t="s">
        <v>52</v>
      </c>
      <c r="G61" s="1" t="str">
        <f>VLOOKUP(gminy_26[[#This Row],[kod strefy]],strefy_26[],2,FALSE)</f>
        <v>strefa świętokrzyska</v>
      </c>
      <c r="H61" s="32">
        <v>424670</v>
      </c>
      <c r="I61" s="32">
        <v>0</v>
      </c>
      <c r="J61" s="32">
        <v>18390</v>
      </c>
      <c r="K61" s="32">
        <v>34470</v>
      </c>
      <c r="L61" s="32">
        <v>39070</v>
      </c>
      <c r="M61" s="32">
        <v>104420</v>
      </c>
      <c r="N61" s="32">
        <v>104420</v>
      </c>
      <c r="O61" s="35">
        <v>123900</v>
      </c>
      <c r="P61" s="35">
        <v>1</v>
      </c>
      <c r="Q61" s="35">
        <v>20</v>
      </c>
    </row>
    <row r="62" spans="1:17" hidden="1" x14ac:dyDescent="0.2">
      <c r="A62" s="1" t="s">
        <v>202</v>
      </c>
      <c r="B62" s="1" t="s">
        <v>203</v>
      </c>
      <c r="C62" s="1" t="str">
        <f>gminy_26[[#This Row],[kod gminy]]</f>
        <v>2606053</v>
      </c>
      <c r="D62" s="1" t="s">
        <v>59</v>
      </c>
      <c r="E62" s="1" t="str">
        <f>VLOOKUP(gminy_26[[#This Row],[kod powiatu]],powiaty_26[],katalogi!$B$1,FALSE)</f>
        <v>opatowski</v>
      </c>
      <c r="F62" s="1" t="s">
        <v>52</v>
      </c>
      <c r="G62" s="1" t="str">
        <f>VLOOKUP(gminy_26[[#This Row],[kod strefy]],strefy_26[],2,FALSE)</f>
        <v>strefa świętokrzyska</v>
      </c>
      <c r="H62" s="32">
        <v>66720</v>
      </c>
      <c r="I62" s="32">
        <v>0</v>
      </c>
      <c r="J62" s="32">
        <v>630</v>
      </c>
      <c r="K62" s="32">
        <v>1180</v>
      </c>
      <c r="L62" s="32">
        <v>1330</v>
      </c>
      <c r="M62" s="32">
        <v>19230</v>
      </c>
      <c r="N62" s="32">
        <v>19230</v>
      </c>
      <c r="O62" s="35">
        <v>25120</v>
      </c>
      <c r="P62" s="35">
        <v>1</v>
      </c>
      <c r="Q62" s="35">
        <v>20</v>
      </c>
    </row>
    <row r="63" spans="1:17" hidden="1" x14ac:dyDescent="0.2">
      <c r="A63" s="1" t="s">
        <v>204</v>
      </c>
      <c r="B63" s="1" t="s">
        <v>205</v>
      </c>
      <c r="C63" s="1" t="str">
        <f>gminy_26[[#This Row],[kod gminy]]</f>
        <v>2601042</v>
      </c>
      <c r="D63" s="1" t="s">
        <v>54</v>
      </c>
      <c r="E63" s="1" t="str">
        <f>VLOOKUP(gminy_26[[#This Row],[kod powiatu]],powiaty_26[],katalogi!$B$1,FALSE)</f>
        <v>buski</v>
      </c>
      <c r="F63" s="1" t="s">
        <v>52</v>
      </c>
      <c r="G63" s="1" t="str">
        <f>VLOOKUP(gminy_26[[#This Row],[kod strefy]],strefy_26[],2,FALSE)</f>
        <v>strefa świętokrzyska</v>
      </c>
      <c r="H63" s="32">
        <v>69270</v>
      </c>
      <c r="I63" s="32">
        <v>0</v>
      </c>
      <c r="J63" s="32">
        <v>2860</v>
      </c>
      <c r="K63" s="32">
        <v>5350</v>
      </c>
      <c r="L63" s="32">
        <v>6070</v>
      </c>
      <c r="M63" s="32">
        <v>17210</v>
      </c>
      <c r="N63" s="32">
        <v>17210</v>
      </c>
      <c r="O63" s="35">
        <v>20570</v>
      </c>
      <c r="P63" s="35">
        <v>1</v>
      </c>
      <c r="Q63" s="35">
        <v>20</v>
      </c>
    </row>
    <row r="64" spans="1:17" hidden="1" x14ac:dyDescent="0.2">
      <c r="A64" s="1" t="s">
        <v>206</v>
      </c>
      <c r="B64" s="1" t="s">
        <v>207</v>
      </c>
      <c r="C64" s="1" t="str">
        <f>gminy_26[[#This Row],[kod gminy]]</f>
        <v>2611042</v>
      </c>
      <c r="D64" s="1" t="s">
        <v>64</v>
      </c>
      <c r="E64" s="1" t="str">
        <f>VLOOKUP(gminy_26[[#This Row],[kod powiatu]],powiaty_26[],katalogi!$B$1,FALSE)</f>
        <v>starachowicki</v>
      </c>
      <c r="F64" s="1" t="s">
        <v>52</v>
      </c>
      <c r="G64" s="1" t="str">
        <f>VLOOKUP(gminy_26[[#This Row],[kod strefy]],strefy_26[],2,FALSE)</f>
        <v>strefa świętokrzyska</v>
      </c>
      <c r="H64" s="32">
        <v>154410</v>
      </c>
      <c r="I64" s="32">
        <v>0</v>
      </c>
      <c r="J64" s="32">
        <v>4410</v>
      </c>
      <c r="K64" s="32">
        <v>8270</v>
      </c>
      <c r="L64" s="32">
        <v>9370</v>
      </c>
      <c r="M64" s="32">
        <v>40810</v>
      </c>
      <c r="N64" s="32">
        <v>40810</v>
      </c>
      <c r="O64" s="35">
        <v>50740</v>
      </c>
      <c r="P64" s="35">
        <v>1</v>
      </c>
      <c r="Q64" s="35">
        <v>5</v>
      </c>
    </row>
    <row r="65" spans="1:17" x14ac:dyDescent="0.2">
      <c r="A65" s="1" t="s">
        <v>208</v>
      </c>
      <c r="B65" s="1" t="s">
        <v>209</v>
      </c>
      <c r="C65" s="1" t="str">
        <f>gminy_26[[#This Row],[kod gminy]]</f>
        <v>2604142</v>
      </c>
      <c r="D65" s="1" t="s">
        <v>57</v>
      </c>
      <c r="E65" s="1" t="str">
        <f>VLOOKUP(gminy_26[[#This Row],[kod powiatu]],powiaty_26[],katalogi!$B$1,FALSE)</f>
        <v>kielecki</v>
      </c>
      <c r="F65" s="1" t="s">
        <v>52</v>
      </c>
      <c r="G65" s="1" t="str">
        <f>VLOOKUP(gminy_26[[#This Row],[kod strefy]],strefy_26[],2,FALSE)</f>
        <v>strefa świętokrzyska</v>
      </c>
      <c r="H65" s="32">
        <v>194000</v>
      </c>
      <c r="I65" s="32">
        <v>0</v>
      </c>
      <c r="J65" s="32">
        <v>7640</v>
      </c>
      <c r="K65" s="32">
        <v>14320</v>
      </c>
      <c r="L65" s="32">
        <v>16230</v>
      </c>
      <c r="M65" s="32">
        <v>48650</v>
      </c>
      <c r="N65" s="32">
        <v>48650</v>
      </c>
      <c r="O65" s="35">
        <v>58510</v>
      </c>
      <c r="P65" s="35">
        <v>1</v>
      </c>
      <c r="Q65" s="35">
        <v>20</v>
      </c>
    </row>
    <row r="66" spans="1:17" x14ac:dyDescent="0.2">
      <c r="A66" s="1" t="s">
        <v>210</v>
      </c>
      <c r="B66" s="1" t="s">
        <v>211</v>
      </c>
      <c r="C66" s="1" t="str">
        <f>gminy_26[[#This Row],[kod gminy]]</f>
        <v>2604152</v>
      </c>
      <c r="D66" s="1" t="s">
        <v>57</v>
      </c>
      <c r="E66" s="1" t="str">
        <f>VLOOKUP(gminy_26[[#This Row],[kod powiatu]],powiaty_26[],katalogi!$B$1,FALSE)</f>
        <v>kielecki</v>
      </c>
      <c r="F66" s="1" t="s">
        <v>52</v>
      </c>
      <c r="G66" s="1" t="str">
        <f>VLOOKUP(gminy_26[[#This Row],[kod strefy]],strefy_26[],2,FALSE)</f>
        <v>strefa świętokrzyska</v>
      </c>
      <c r="H66" s="32">
        <v>55590</v>
      </c>
      <c r="I66" s="32">
        <v>0</v>
      </c>
      <c r="J66" s="32">
        <v>2190</v>
      </c>
      <c r="K66" s="32">
        <v>4110</v>
      </c>
      <c r="L66" s="32">
        <v>4650</v>
      </c>
      <c r="M66" s="32">
        <v>13940</v>
      </c>
      <c r="N66" s="32">
        <v>13940</v>
      </c>
      <c r="O66" s="35">
        <v>16760</v>
      </c>
      <c r="P66" s="35">
        <v>1</v>
      </c>
      <c r="Q66" s="35">
        <v>20</v>
      </c>
    </row>
    <row r="67" spans="1:17" hidden="1" x14ac:dyDescent="0.2">
      <c r="A67" s="1" t="s">
        <v>212</v>
      </c>
      <c r="B67" s="1" t="s">
        <v>213</v>
      </c>
      <c r="C67" s="1" t="str">
        <f>gminy_26[[#This Row],[kod gminy]]</f>
        <v>2608043</v>
      </c>
      <c r="D67" s="1" t="s">
        <v>61</v>
      </c>
      <c r="E67" s="1" t="str">
        <f>VLOOKUP(gminy_26[[#This Row],[kod powiatu]],powiaty_26[],katalogi!$B$1,FALSE)</f>
        <v>pińczowski</v>
      </c>
      <c r="F67" s="1" t="s">
        <v>52</v>
      </c>
      <c r="G67" s="1" t="str">
        <f>VLOOKUP(gminy_26[[#This Row],[kod strefy]],strefy_26[],2,FALSE)</f>
        <v>strefa świętokrzyska</v>
      </c>
      <c r="H67" s="32">
        <v>161340</v>
      </c>
      <c r="I67" s="32">
        <v>0</v>
      </c>
      <c r="J67" s="32">
        <v>2080</v>
      </c>
      <c r="K67" s="32">
        <v>3900</v>
      </c>
      <c r="L67" s="32">
        <v>4420</v>
      </c>
      <c r="M67" s="32">
        <v>45800</v>
      </c>
      <c r="N67" s="32">
        <v>45800</v>
      </c>
      <c r="O67" s="35">
        <v>59340</v>
      </c>
      <c r="P67" s="35">
        <v>1</v>
      </c>
      <c r="Q67" s="35">
        <v>20</v>
      </c>
    </row>
    <row r="68" spans="1:17" hidden="1" x14ac:dyDescent="0.2">
      <c r="A68" s="1" t="s">
        <v>214</v>
      </c>
      <c r="B68" s="1" t="s">
        <v>215</v>
      </c>
      <c r="C68" s="1" t="str">
        <f>gminy_26[[#This Row],[kod gminy]]</f>
        <v>2612053</v>
      </c>
      <c r="D68" s="1" t="s">
        <v>65</v>
      </c>
      <c r="E68" s="1" t="str">
        <f>VLOOKUP(gminy_26[[#This Row],[kod powiatu]],powiaty_26[],katalogi!$B$1,FALSE)</f>
        <v>staszowski</v>
      </c>
      <c r="F68" s="1" t="s">
        <v>52</v>
      </c>
      <c r="G68" s="1" t="str">
        <f>VLOOKUP(gminy_26[[#This Row],[kod strefy]],strefy_26[],2,FALSE)</f>
        <v>strefa świętokrzyska</v>
      </c>
      <c r="H68" s="32">
        <v>100530</v>
      </c>
      <c r="I68" s="32">
        <v>0</v>
      </c>
      <c r="J68" s="32">
        <v>5940</v>
      </c>
      <c r="K68" s="32">
        <v>11130</v>
      </c>
      <c r="L68" s="32">
        <v>12610</v>
      </c>
      <c r="M68" s="32">
        <v>22740</v>
      </c>
      <c r="N68" s="32">
        <v>22740</v>
      </c>
      <c r="O68" s="35">
        <v>25370</v>
      </c>
      <c r="P68" s="35">
        <v>1</v>
      </c>
      <c r="Q68" s="35">
        <v>20</v>
      </c>
    </row>
    <row r="69" spans="1:17" hidden="1" x14ac:dyDescent="0.2">
      <c r="A69" s="1" t="s">
        <v>216</v>
      </c>
      <c r="B69" s="1" t="s">
        <v>217</v>
      </c>
      <c r="C69" s="1" t="str">
        <f>gminy_26[[#This Row],[kod gminy]]</f>
        <v>2613042</v>
      </c>
      <c r="D69" s="1" t="s">
        <v>66</v>
      </c>
      <c r="E69" s="1" t="str">
        <f>VLOOKUP(gminy_26[[#This Row],[kod powiatu]],powiaty_26[],katalogi!$B$1,FALSE)</f>
        <v>włoszczowski</v>
      </c>
      <c r="F69" s="1" t="s">
        <v>52</v>
      </c>
      <c r="G69" s="1" t="str">
        <f>VLOOKUP(gminy_26[[#This Row],[kod strefy]],strefy_26[],2,FALSE)</f>
        <v>strefa świętokrzyska</v>
      </c>
      <c r="H69" s="32">
        <v>19450</v>
      </c>
      <c r="I69" s="32">
        <v>0</v>
      </c>
      <c r="J69" s="32">
        <v>250</v>
      </c>
      <c r="K69" s="32">
        <v>470</v>
      </c>
      <c r="L69" s="32">
        <v>540</v>
      </c>
      <c r="M69" s="32">
        <v>5520</v>
      </c>
      <c r="N69" s="32">
        <v>5520</v>
      </c>
      <c r="O69" s="35">
        <v>7150</v>
      </c>
      <c r="P69" s="35">
        <v>1</v>
      </c>
      <c r="Q69" s="35">
        <v>5</v>
      </c>
    </row>
    <row r="70" spans="1:17" hidden="1" x14ac:dyDescent="0.2">
      <c r="A70" s="1" t="s">
        <v>218</v>
      </c>
      <c r="B70" s="1" t="s">
        <v>219</v>
      </c>
      <c r="C70" s="1" t="str">
        <f>gminy_26[[#This Row],[kod gminy]]</f>
        <v>2605043</v>
      </c>
      <c r="D70" s="1" t="s">
        <v>58</v>
      </c>
      <c r="E70" s="1" t="str">
        <f>VLOOKUP(gminy_26[[#This Row],[kod powiatu]],powiaty_26[],katalogi!$B$1,FALSE)</f>
        <v>konecki</v>
      </c>
      <c r="F70" s="1" t="s">
        <v>52</v>
      </c>
      <c r="G70" s="1" t="str">
        <f>VLOOKUP(gminy_26[[#This Row],[kod strefy]],strefy_26[],2,FALSE)</f>
        <v>strefa świętokrzyska</v>
      </c>
      <c r="H70" s="32">
        <v>90640</v>
      </c>
      <c r="I70" s="32">
        <v>0</v>
      </c>
      <c r="J70" s="32">
        <v>2780</v>
      </c>
      <c r="K70" s="32">
        <v>5200</v>
      </c>
      <c r="L70" s="32">
        <v>5900</v>
      </c>
      <c r="M70" s="32">
        <v>23720</v>
      </c>
      <c r="N70" s="32">
        <v>23720</v>
      </c>
      <c r="O70" s="35">
        <v>29320</v>
      </c>
      <c r="P70" s="35">
        <v>1</v>
      </c>
      <c r="Q70" s="35">
        <v>20</v>
      </c>
    </row>
    <row r="71" spans="1:17" x14ac:dyDescent="0.2">
      <c r="A71" s="1" t="s">
        <v>220</v>
      </c>
      <c r="B71" s="1" t="s">
        <v>221</v>
      </c>
      <c r="C71" s="1" t="str">
        <f>gminy_26[[#This Row],[kod gminy]]</f>
        <v>2604162</v>
      </c>
      <c r="D71" s="1" t="s">
        <v>57</v>
      </c>
      <c r="E71" s="1" t="str">
        <f>VLOOKUP(gminy_26[[#This Row],[kod powiatu]],powiaty_26[],katalogi!$B$1,FALSE)</f>
        <v>kielecki</v>
      </c>
      <c r="F71" s="1" t="s">
        <v>52</v>
      </c>
      <c r="G71" s="1" t="str">
        <f>VLOOKUP(gminy_26[[#This Row],[kod strefy]],strefy_26[],2,FALSE)</f>
        <v>strefa świętokrzyska</v>
      </c>
      <c r="H71" s="32">
        <v>66280</v>
      </c>
      <c r="I71" s="32">
        <v>0</v>
      </c>
      <c r="J71" s="32">
        <v>2610</v>
      </c>
      <c r="K71" s="32">
        <v>4880</v>
      </c>
      <c r="L71" s="32">
        <v>5530</v>
      </c>
      <c r="M71" s="32">
        <v>16630</v>
      </c>
      <c r="N71" s="32">
        <v>16630</v>
      </c>
      <c r="O71" s="35">
        <v>20000</v>
      </c>
      <c r="P71" s="35">
        <v>1</v>
      </c>
      <c r="Q71" s="35">
        <v>5</v>
      </c>
    </row>
    <row r="72" spans="1:17" hidden="1" x14ac:dyDescent="0.2">
      <c r="A72" s="1" t="s">
        <v>222</v>
      </c>
      <c r="B72" s="1" t="s">
        <v>223</v>
      </c>
      <c r="C72" s="1" t="str">
        <f>gminy_26[[#This Row],[kod gminy]]</f>
        <v>2605052</v>
      </c>
      <c r="D72" s="1" t="s">
        <v>58</v>
      </c>
      <c r="E72" s="1" t="str">
        <f>VLOOKUP(gminy_26[[#This Row],[kod powiatu]],powiaty_26[],katalogi!$B$1,FALSE)</f>
        <v>konecki</v>
      </c>
      <c r="F72" s="1" t="s">
        <v>52</v>
      </c>
      <c r="G72" s="1" t="str">
        <f>VLOOKUP(gminy_26[[#This Row],[kod strefy]],strefy_26[],2,FALSE)</f>
        <v>strefa świętokrzyska</v>
      </c>
      <c r="H72" s="32">
        <v>30150</v>
      </c>
      <c r="I72" s="32">
        <v>0</v>
      </c>
      <c r="J72" s="32">
        <v>860</v>
      </c>
      <c r="K72" s="32">
        <v>1610</v>
      </c>
      <c r="L72" s="32">
        <v>1820</v>
      </c>
      <c r="M72" s="32">
        <v>7970</v>
      </c>
      <c r="N72" s="32">
        <v>7970</v>
      </c>
      <c r="O72" s="35">
        <v>9920</v>
      </c>
      <c r="P72" s="35">
        <v>1</v>
      </c>
      <c r="Q72" s="35">
        <v>5</v>
      </c>
    </row>
    <row r="73" spans="1:17" hidden="1" x14ac:dyDescent="0.2">
      <c r="A73" s="1" t="s">
        <v>224</v>
      </c>
      <c r="B73" s="1" t="s">
        <v>225</v>
      </c>
      <c r="C73" s="1" t="str">
        <f>gminy_26[[#This Row],[kod gminy]]</f>
        <v>2612062</v>
      </c>
      <c r="D73" s="1" t="s">
        <v>65</v>
      </c>
      <c r="E73" s="1" t="str">
        <f>VLOOKUP(gminy_26[[#This Row],[kod powiatu]],powiaty_26[],katalogi!$B$1,FALSE)</f>
        <v>staszowski</v>
      </c>
      <c r="F73" s="1" t="s">
        <v>52</v>
      </c>
      <c r="G73" s="1" t="str">
        <f>VLOOKUP(gminy_26[[#This Row],[kod strefy]],strefy_26[],2,FALSE)</f>
        <v>strefa świętokrzyska</v>
      </c>
      <c r="H73" s="32">
        <v>60580</v>
      </c>
      <c r="I73" s="32">
        <v>0</v>
      </c>
      <c r="J73" s="32">
        <v>3550</v>
      </c>
      <c r="K73" s="32">
        <v>6650</v>
      </c>
      <c r="L73" s="32">
        <v>7540</v>
      </c>
      <c r="M73" s="32">
        <v>13740</v>
      </c>
      <c r="N73" s="32">
        <v>13740</v>
      </c>
      <c r="O73" s="35">
        <v>15360</v>
      </c>
      <c r="P73" s="35">
        <v>1</v>
      </c>
      <c r="Q73" s="35">
        <v>5</v>
      </c>
    </row>
    <row r="74" spans="1:17" hidden="1" x14ac:dyDescent="0.2">
      <c r="A74" s="1" t="s">
        <v>226</v>
      </c>
      <c r="B74" s="1" t="s">
        <v>227</v>
      </c>
      <c r="C74" s="1" t="str">
        <f>gminy_26[[#This Row],[kod gminy]]</f>
        <v>2606062</v>
      </c>
      <c r="D74" s="1" t="s">
        <v>59</v>
      </c>
      <c r="E74" s="1" t="str">
        <f>VLOOKUP(gminy_26[[#This Row],[kod powiatu]],powiaty_26[],katalogi!$B$1,FALSE)</f>
        <v>opatowski</v>
      </c>
      <c r="F74" s="1" t="s">
        <v>52</v>
      </c>
      <c r="G74" s="1" t="str">
        <f>VLOOKUP(gminy_26[[#This Row],[kod strefy]],strefy_26[],2,FALSE)</f>
        <v>strefa świętokrzyska</v>
      </c>
      <c r="H74" s="32">
        <v>23480</v>
      </c>
      <c r="I74" s="32">
        <v>0</v>
      </c>
      <c r="J74" s="32">
        <v>130</v>
      </c>
      <c r="K74" s="32">
        <v>250</v>
      </c>
      <c r="L74" s="32">
        <v>280</v>
      </c>
      <c r="M74" s="32">
        <v>6880</v>
      </c>
      <c r="N74" s="32">
        <v>6880</v>
      </c>
      <c r="O74" s="35">
        <v>9060</v>
      </c>
      <c r="P74" s="35">
        <v>1</v>
      </c>
      <c r="Q74" s="35">
        <v>5</v>
      </c>
    </row>
    <row r="75" spans="1:17" hidden="1" x14ac:dyDescent="0.2">
      <c r="A75" s="1" t="s">
        <v>228</v>
      </c>
      <c r="B75" s="1" t="s">
        <v>229</v>
      </c>
      <c r="C75" s="1" t="str">
        <f>gminy_26[[#This Row],[kod gminy]]</f>
        <v>2609072</v>
      </c>
      <c r="D75" s="1" t="s">
        <v>62</v>
      </c>
      <c r="E75" s="1" t="str">
        <f>VLOOKUP(gminy_26[[#This Row],[kod powiatu]],powiaty_26[],katalogi!$B$1,FALSE)</f>
        <v>sandomierski</v>
      </c>
      <c r="F75" s="1" t="s">
        <v>52</v>
      </c>
      <c r="G75" s="1" t="str">
        <f>VLOOKUP(gminy_26[[#This Row],[kod strefy]],strefy_26[],2,FALSE)</f>
        <v>strefa świętokrzyska</v>
      </c>
      <c r="H75" s="32">
        <v>36460</v>
      </c>
      <c r="I75" s="32">
        <v>0</v>
      </c>
      <c r="J75" s="32">
        <v>1220</v>
      </c>
      <c r="K75" s="32">
        <v>2280</v>
      </c>
      <c r="L75" s="32">
        <v>2580</v>
      </c>
      <c r="M75" s="32">
        <v>9420</v>
      </c>
      <c r="N75" s="32">
        <v>9420</v>
      </c>
      <c r="O75" s="35">
        <v>11540</v>
      </c>
      <c r="P75" s="35">
        <v>1</v>
      </c>
      <c r="Q75" s="35">
        <v>5</v>
      </c>
    </row>
    <row r="76" spans="1:17" hidden="1" x14ac:dyDescent="0.2">
      <c r="A76" s="1" t="s">
        <v>230</v>
      </c>
      <c r="B76" s="1" t="s">
        <v>231</v>
      </c>
      <c r="C76" s="1" t="str">
        <f>gminy_26[[#This Row],[kod gminy]]</f>
        <v>2609011</v>
      </c>
      <c r="D76" s="1" t="s">
        <v>62</v>
      </c>
      <c r="E76" s="1" t="str">
        <f>VLOOKUP(gminy_26[[#This Row],[kod powiatu]],powiaty_26[],katalogi!$B$1,FALSE)</f>
        <v>sandomierski</v>
      </c>
      <c r="F76" s="1" t="s">
        <v>52</v>
      </c>
      <c r="G76" s="1" t="str">
        <f>VLOOKUP(gminy_26[[#This Row],[kod strefy]],strefy_26[],2,FALSE)</f>
        <v>strefa świętokrzyska</v>
      </c>
      <c r="H76" s="32">
        <v>73140</v>
      </c>
      <c r="I76" s="32">
        <v>0</v>
      </c>
      <c r="J76" s="32">
        <v>2570</v>
      </c>
      <c r="K76" s="32">
        <v>4820</v>
      </c>
      <c r="L76" s="32">
        <v>5470</v>
      </c>
      <c r="M76" s="32">
        <v>18730</v>
      </c>
      <c r="N76" s="32">
        <v>18730</v>
      </c>
      <c r="O76" s="35">
        <v>22820</v>
      </c>
      <c r="P76" s="35">
        <v>1</v>
      </c>
      <c r="Q76" s="35">
        <v>20</v>
      </c>
    </row>
    <row r="77" spans="1:17" hidden="1" x14ac:dyDescent="0.2">
      <c r="A77" s="1" t="s">
        <v>232</v>
      </c>
      <c r="B77" s="1" t="s">
        <v>233</v>
      </c>
      <c r="C77" s="1" t="str">
        <f>gminy_26[[#This Row],[kod gminy]]</f>
        <v>2613052</v>
      </c>
      <c r="D77" s="1" t="s">
        <v>66</v>
      </c>
      <c r="E77" s="1" t="str">
        <f>VLOOKUP(gminy_26[[#This Row],[kod powiatu]],powiaty_26[],katalogi!$B$1,FALSE)</f>
        <v>włoszczowski</v>
      </c>
      <c r="F77" s="1" t="s">
        <v>52</v>
      </c>
      <c r="G77" s="1" t="str">
        <f>VLOOKUP(gminy_26[[#This Row],[kod strefy]],strefy_26[],2,FALSE)</f>
        <v>strefa świętokrzyska</v>
      </c>
      <c r="H77" s="32">
        <v>38170</v>
      </c>
      <c r="I77" s="32">
        <v>0</v>
      </c>
      <c r="J77" s="32">
        <v>540</v>
      </c>
      <c r="K77" s="32">
        <v>1010</v>
      </c>
      <c r="L77" s="32">
        <v>1140</v>
      </c>
      <c r="M77" s="32">
        <v>10780</v>
      </c>
      <c r="N77" s="32">
        <v>10780</v>
      </c>
      <c r="O77" s="35">
        <v>13920</v>
      </c>
      <c r="P77" s="35">
        <v>1</v>
      </c>
      <c r="Q77" s="35">
        <v>5</v>
      </c>
    </row>
    <row r="78" spans="1:17" hidden="1" x14ac:dyDescent="0.2">
      <c r="A78" s="1" t="s">
        <v>234</v>
      </c>
      <c r="B78" s="1" t="s">
        <v>235</v>
      </c>
      <c r="C78" s="1" t="str">
        <f>gminy_26[[#This Row],[kod gminy]]</f>
        <v>2602063</v>
      </c>
      <c r="D78" s="1" t="s">
        <v>55</v>
      </c>
      <c r="E78" s="1" t="str">
        <f>VLOOKUP(gminy_26[[#This Row],[kod powiatu]],powiaty_26[],katalogi!$B$1,FALSE)</f>
        <v>jędrzejowski</v>
      </c>
      <c r="F78" s="1" t="s">
        <v>52</v>
      </c>
      <c r="G78" s="1" t="str">
        <f>VLOOKUP(gminy_26[[#This Row],[kod strefy]],strefy_26[],2,FALSE)</f>
        <v>strefa świętokrzyska</v>
      </c>
      <c r="H78" s="32">
        <v>127570</v>
      </c>
      <c r="I78" s="32">
        <v>0</v>
      </c>
      <c r="J78" s="32">
        <v>5390</v>
      </c>
      <c r="K78" s="32">
        <v>10110</v>
      </c>
      <c r="L78" s="32">
        <v>11460</v>
      </c>
      <c r="M78" s="32">
        <v>31530</v>
      </c>
      <c r="N78" s="32">
        <v>31530</v>
      </c>
      <c r="O78" s="35">
        <v>37550</v>
      </c>
      <c r="P78" s="35">
        <v>1</v>
      </c>
      <c r="Q78" s="35">
        <v>20</v>
      </c>
    </row>
    <row r="79" spans="1:17" hidden="1" x14ac:dyDescent="0.2">
      <c r="A79" s="1" t="s">
        <v>237</v>
      </c>
      <c r="B79" s="1" t="s">
        <v>238</v>
      </c>
      <c r="C79" s="1" t="str">
        <f>gminy_26[[#This Row],[kod gminy]]</f>
        <v>2603053</v>
      </c>
      <c r="D79" s="1" t="s">
        <v>56</v>
      </c>
      <c r="E79" s="1" t="str">
        <f>VLOOKUP(gminy_26[[#This Row],[kod powiatu]],powiaty_26[],katalogi!$B$1,FALSE)</f>
        <v>kazimierski</v>
      </c>
      <c r="F79" s="1" t="s">
        <v>52</v>
      </c>
      <c r="G79" s="1" t="str">
        <f>VLOOKUP(gminy_26[[#This Row],[kod strefy]],strefy_26[],2,FALSE)</f>
        <v>strefa świętokrzyska</v>
      </c>
      <c r="H79" s="32">
        <v>47650</v>
      </c>
      <c r="I79" s="32">
        <v>0</v>
      </c>
      <c r="J79" s="32">
        <v>1370</v>
      </c>
      <c r="K79" s="32">
        <v>2570</v>
      </c>
      <c r="L79" s="32">
        <v>2920</v>
      </c>
      <c r="M79" s="32">
        <v>12580</v>
      </c>
      <c r="N79" s="32">
        <v>12580</v>
      </c>
      <c r="O79" s="35">
        <v>15630</v>
      </c>
      <c r="P79" s="35">
        <v>1</v>
      </c>
      <c r="Q79" s="35">
        <v>20</v>
      </c>
    </row>
    <row r="80" spans="1:17" hidden="1" x14ac:dyDescent="0.2">
      <c r="A80" s="1" t="s">
        <v>239</v>
      </c>
      <c r="B80" s="1" t="s">
        <v>240</v>
      </c>
      <c r="C80" s="1" t="str">
        <f>gminy_26[[#This Row],[kod gminy]]</f>
        <v>2610042</v>
      </c>
      <c r="D80" s="1" t="s">
        <v>63</v>
      </c>
      <c r="E80" s="1" t="str">
        <f>VLOOKUP(gminy_26[[#This Row],[kod powiatu]],powiaty_26[],katalogi!$B$1,FALSE)</f>
        <v>skarżyski</v>
      </c>
      <c r="F80" s="1" t="s">
        <v>52</v>
      </c>
      <c r="G80" s="1" t="str">
        <f>VLOOKUP(gminy_26[[#This Row],[kod strefy]],strefy_26[],2,FALSE)</f>
        <v>strefa świętokrzyska</v>
      </c>
      <c r="H80" s="32">
        <v>64660</v>
      </c>
      <c r="I80" s="32">
        <v>0</v>
      </c>
      <c r="J80" s="32">
        <v>1720</v>
      </c>
      <c r="K80" s="32">
        <v>3220</v>
      </c>
      <c r="L80" s="32">
        <v>3650</v>
      </c>
      <c r="M80" s="32">
        <v>17250</v>
      </c>
      <c r="N80" s="32">
        <v>17250</v>
      </c>
      <c r="O80" s="35">
        <v>21570</v>
      </c>
      <c r="P80" s="35">
        <v>1</v>
      </c>
      <c r="Q80" s="35">
        <v>5</v>
      </c>
    </row>
    <row r="81" spans="1:17" hidden="1" x14ac:dyDescent="0.2">
      <c r="A81" s="1" t="s">
        <v>241</v>
      </c>
      <c r="B81" s="1" t="s">
        <v>242</v>
      </c>
      <c r="C81" s="1" t="str">
        <f>gminy_26[[#This Row],[kod gminy]]</f>
        <v>2610011</v>
      </c>
      <c r="D81" s="1" t="s">
        <v>63</v>
      </c>
      <c r="E81" s="1" t="str">
        <f>VLOOKUP(gminy_26[[#This Row],[kod powiatu]],powiaty_26[],katalogi!$B$1,FALSE)</f>
        <v>skarżyski</v>
      </c>
      <c r="F81" s="1" t="s">
        <v>52</v>
      </c>
      <c r="G81" s="1" t="str">
        <f>VLOOKUP(gminy_26[[#This Row],[kod strefy]],strefy_26[],2,FALSE)</f>
        <v>strefa świętokrzyska</v>
      </c>
      <c r="H81" s="32">
        <v>259800</v>
      </c>
      <c r="I81" s="32">
        <v>0</v>
      </c>
      <c r="J81" s="32">
        <v>6920</v>
      </c>
      <c r="K81" s="32">
        <v>12980</v>
      </c>
      <c r="L81" s="32">
        <v>14700</v>
      </c>
      <c r="M81" s="32">
        <v>69290</v>
      </c>
      <c r="N81" s="32">
        <v>69290</v>
      </c>
      <c r="O81" s="35">
        <v>86620</v>
      </c>
      <c r="P81" s="35">
        <v>1</v>
      </c>
      <c r="Q81" s="35">
        <v>20</v>
      </c>
    </row>
    <row r="82" spans="1:17" hidden="1" x14ac:dyDescent="0.2">
      <c r="A82" s="1" t="s">
        <v>243</v>
      </c>
      <c r="B82" s="1" t="s">
        <v>244</v>
      </c>
      <c r="C82" s="1" t="str">
        <f>gminy_26[[#This Row],[kod gminy]]</f>
        <v>2602072</v>
      </c>
      <c r="D82" s="1" t="s">
        <v>55</v>
      </c>
      <c r="E82" s="1" t="str">
        <f>VLOOKUP(gminy_26[[#This Row],[kod powiatu]],powiaty_26[],katalogi!$B$1,FALSE)</f>
        <v>jędrzejowski</v>
      </c>
      <c r="F82" s="1" t="s">
        <v>52</v>
      </c>
      <c r="G82" s="1" t="str">
        <f>VLOOKUP(gminy_26[[#This Row],[kod strefy]],strefy_26[],2,FALSE)</f>
        <v>strefa świętokrzyska</v>
      </c>
      <c r="H82" s="32">
        <v>46240</v>
      </c>
      <c r="I82" s="32">
        <v>0</v>
      </c>
      <c r="J82" s="32">
        <v>1930</v>
      </c>
      <c r="K82" s="32">
        <v>3620</v>
      </c>
      <c r="L82" s="32">
        <v>4100</v>
      </c>
      <c r="M82" s="32">
        <v>11460</v>
      </c>
      <c r="N82" s="32">
        <v>11460</v>
      </c>
      <c r="O82" s="35">
        <v>13670</v>
      </c>
      <c r="P82" s="35">
        <v>1</v>
      </c>
      <c r="Q82" s="35">
        <v>5</v>
      </c>
    </row>
    <row r="83" spans="1:17" hidden="1" x14ac:dyDescent="0.2">
      <c r="A83" s="1" t="s">
        <v>245</v>
      </c>
      <c r="B83" s="1" t="s">
        <v>423</v>
      </c>
      <c r="C83" s="1" t="str">
        <f>gminy_26[[#This Row],[kod gminy]]</f>
        <v>2605062</v>
      </c>
      <c r="D83" s="1" t="s">
        <v>58</v>
      </c>
      <c r="E83" s="1" t="str">
        <f>VLOOKUP(gminy_26[[#This Row],[kod powiatu]],powiaty_26[],katalogi!$B$1,FALSE)</f>
        <v>konecki</v>
      </c>
      <c r="F83" s="1" t="s">
        <v>52</v>
      </c>
      <c r="G83" s="1" t="str">
        <f>VLOOKUP(gminy_26[[#This Row],[kod strefy]],strefy_26[],2,FALSE)</f>
        <v>strefa świętokrzyska</v>
      </c>
      <c r="H83" s="32">
        <v>33300</v>
      </c>
      <c r="I83" s="32">
        <v>0</v>
      </c>
      <c r="J83" s="32">
        <v>1000</v>
      </c>
      <c r="K83" s="32">
        <v>1860</v>
      </c>
      <c r="L83" s="32">
        <v>2110</v>
      </c>
      <c r="M83" s="32">
        <v>8750</v>
      </c>
      <c r="N83" s="32">
        <v>8750</v>
      </c>
      <c r="O83" s="35">
        <v>10830</v>
      </c>
      <c r="P83" s="35">
        <v>1</v>
      </c>
      <c r="Q83" s="35">
        <v>5</v>
      </c>
    </row>
    <row r="84" spans="1:17" hidden="1" x14ac:dyDescent="0.2">
      <c r="A84" s="1" t="s">
        <v>246</v>
      </c>
      <c r="B84" s="1" t="s">
        <v>247</v>
      </c>
      <c r="C84" s="1" t="str">
        <f>gminy_26[[#This Row],[kod gminy]]</f>
        <v>2605072</v>
      </c>
      <c r="D84" s="1" t="s">
        <v>58</v>
      </c>
      <c r="E84" s="1" t="str">
        <f>VLOOKUP(gminy_26[[#This Row],[kod powiatu]],powiaty_26[],katalogi!$B$1,FALSE)</f>
        <v>konecki</v>
      </c>
      <c r="F84" s="1" t="s">
        <v>52</v>
      </c>
      <c r="G84" s="1" t="str">
        <f>VLOOKUP(gminy_26[[#This Row],[kod strefy]],strefy_26[],2,FALSE)</f>
        <v>strefa świętokrzyska</v>
      </c>
      <c r="H84" s="32">
        <v>38060</v>
      </c>
      <c r="I84" s="32">
        <v>0</v>
      </c>
      <c r="J84" s="32">
        <v>1150</v>
      </c>
      <c r="K84" s="32">
        <v>2160</v>
      </c>
      <c r="L84" s="32">
        <v>2440</v>
      </c>
      <c r="M84" s="32">
        <v>9980</v>
      </c>
      <c r="N84" s="32">
        <v>9980</v>
      </c>
      <c r="O84" s="35">
        <v>12350</v>
      </c>
      <c r="P84" s="35">
        <v>1</v>
      </c>
      <c r="Q84" s="35">
        <v>5</v>
      </c>
    </row>
    <row r="85" spans="1:17" hidden="1" x14ac:dyDescent="0.2">
      <c r="A85" s="1" t="s">
        <v>248</v>
      </c>
      <c r="B85" s="1" t="s">
        <v>249</v>
      </c>
      <c r="C85" s="1" t="str">
        <f>gminy_26[[#This Row],[kod gminy]]</f>
        <v>2602082</v>
      </c>
      <c r="D85" s="1" t="s">
        <v>55</v>
      </c>
      <c r="E85" s="1" t="str">
        <f>VLOOKUP(gminy_26[[#This Row],[kod powiatu]],powiaty_26[],katalogi!$B$1,FALSE)</f>
        <v>jędrzejowski</v>
      </c>
      <c r="F85" s="1" t="s">
        <v>52</v>
      </c>
      <c r="G85" s="1" t="str">
        <f>VLOOKUP(gminy_26[[#This Row],[kod strefy]],strefy_26[],2,FALSE)</f>
        <v>strefa świętokrzyska</v>
      </c>
      <c r="H85" s="32">
        <v>91020</v>
      </c>
      <c r="I85" s="32">
        <v>0</v>
      </c>
      <c r="J85" s="32">
        <v>3810</v>
      </c>
      <c r="K85" s="32">
        <v>7130</v>
      </c>
      <c r="L85" s="32">
        <v>8080</v>
      </c>
      <c r="M85" s="32">
        <v>22550</v>
      </c>
      <c r="N85" s="32">
        <v>22550</v>
      </c>
      <c r="O85" s="35">
        <v>26900</v>
      </c>
      <c r="P85" s="35">
        <v>1</v>
      </c>
      <c r="Q85" s="35">
        <v>5</v>
      </c>
    </row>
    <row r="86" spans="1:17" hidden="1" x14ac:dyDescent="0.2">
      <c r="A86" s="1" t="s">
        <v>250</v>
      </c>
      <c r="B86" s="1" t="s">
        <v>251</v>
      </c>
      <c r="C86" s="1" t="str">
        <f>gminy_26[[#This Row],[kod gminy]]</f>
        <v>2601052</v>
      </c>
      <c r="D86" s="1" t="s">
        <v>54</v>
      </c>
      <c r="E86" s="1" t="str">
        <f>VLOOKUP(gminy_26[[#This Row],[kod powiatu]],powiaty_26[],katalogi!$B$1,FALSE)</f>
        <v>buski</v>
      </c>
      <c r="F86" s="1" t="s">
        <v>52</v>
      </c>
      <c r="G86" s="1" t="str">
        <f>VLOOKUP(gminy_26[[#This Row],[kod strefy]],strefy_26[],2,FALSE)</f>
        <v>strefa świętokrzyska</v>
      </c>
      <c r="H86" s="32">
        <v>42560</v>
      </c>
      <c r="I86" s="32">
        <v>0</v>
      </c>
      <c r="J86" s="32">
        <v>1770</v>
      </c>
      <c r="K86" s="32">
        <v>3320</v>
      </c>
      <c r="L86" s="32">
        <v>3770</v>
      </c>
      <c r="M86" s="32">
        <v>10550</v>
      </c>
      <c r="N86" s="32">
        <v>10550</v>
      </c>
      <c r="O86" s="35">
        <v>12600</v>
      </c>
      <c r="P86" s="35">
        <v>1</v>
      </c>
      <c r="Q86" s="35">
        <v>5</v>
      </c>
    </row>
    <row r="87" spans="1:17" hidden="1" x14ac:dyDescent="0.2">
      <c r="A87" s="1" t="s">
        <v>252</v>
      </c>
      <c r="B87" s="1" t="s">
        <v>253</v>
      </c>
      <c r="C87" s="1" t="str">
        <f>gminy_26[[#This Row],[kod gminy]]</f>
        <v>2611011</v>
      </c>
      <c r="D87" s="1" t="s">
        <v>64</v>
      </c>
      <c r="E87" s="1" t="str">
        <f>VLOOKUP(gminy_26[[#This Row],[kod powiatu]],powiaty_26[],katalogi!$B$1,FALSE)</f>
        <v>starachowicki</v>
      </c>
      <c r="F87" s="1" t="s">
        <v>52</v>
      </c>
      <c r="G87" s="1" t="str">
        <f>VLOOKUP(gminy_26[[#This Row],[kod strefy]],strefy_26[],2,FALSE)</f>
        <v>strefa świętokrzyska</v>
      </c>
      <c r="H87" s="32">
        <v>279880</v>
      </c>
      <c r="I87" s="32">
        <v>0</v>
      </c>
      <c r="J87" s="32">
        <v>7990</v>
      </c>
      <c r="K87" s="32">
        <v>14980</v>
      </c>
      <c r="L87" s="32">
        <v>16970</v>
      </c>
      <c r="M87" s="32">
        <v>73980</v>
      </c>
      <c r="N87" s="32">
        <v>73980</v>
      </c>
      <c r="O87" s="35">
        <v>91980</v>
      </c>
      <c r="P87" s="35">
        <v>1</v>
      </c>
      <c r="Q87" s="35">
        <v>20</v>
      </c>
    </row>
    <row r="88" spans="1:17" hidden="1" x14ac:dyDescent="0.2">
      <c r="A88" s="1" t="s">
        <v>254</v>
      </c>
      <c r="B88" s="1" t="s">
        <v>255</v>
      </c>
      <c r="C88" s="1" t="str">
        <f>gminy_26[[#This Row],[kod gminy]]</f>
        <v>2612073</v>
      </c>
      <c r="D88" s="1" t="s">
        <v>65</v>
      </c>
      <c r="E88" s="1" t="str">
        <f>VLOOKUP(gminy_26[[#This Row],[kod powiatu]],powiaty_26[],katalogi!$B$1,FALSE)</f>
        <v>staszowski</v>
      </c>
      <c r="F88" s="1" t="s">
        <v>52</v>
      </c>
      <c r="G88" s="1" t="str">
        <f>VLOOKUP(gminy_26[[#This Row],[kod strefy]],strefy_26[],2,FALSE)</f>
        <v>strefa świętokrzyska</v>
      </c>
      <c r="H88" s="32">
        <v>189050</v>
      </c>
      <c r="I88" s="32">
        <v>0</v>
      </c>
      <c r="J88" s="32">
        <v>11230</v>
      </c>
      <c r="K88" s="32">
        <v>21050</v>
      </c>
      <c r="L88" s="32">
        <v>23860</v>
      </c>
      <c r="M88" s="32">
        <v>42680</v>
      </c>
      <c r="N88" s="32">
        <v>42680</v>
      </c>
      <c r="O88" s="35">
        <v>47550</v>
      </c>
      <c r="P88" s="35">
        <v>1</v>
      </c>
      <c r="Q88" s="35">
        <v>20</v>
      </c>
    </row>
    <row r="89" spans="1:17" hidden="1" x14ac:dyDescent="0.2">
      <c r="A89" s="1" t="s">
        <v>256</v>
      </c>
      <c r="B89" s="1" t="s">
        <v>257</v>
      </c>
      <c r="C89" s="1" t="str">
        <f>gminy_26[[#This Row],[kod gminy]]</f>
        <v>2605083</v>
      </c>
      <c r="D89" s="1" t="s">
        <v>58</v>
      </c>
      <c r="E89" s="1" t="str">
        <f>VLOOKUP(gminy_26[[#This Row],[kod powiatu]],powiaty_26[],katalogi!$B$1,FALSE)</f>
        <v>konecki</v>
      </c>
      <c r="F89" s="1" t="s">
        <v>52</v>
      </c>
      <c r="G89" s="1" t="str">
        <f>VLOOKUP(gminy_26[[#This Row],[kod strefy]],strefy_26[],2,FALSE)</f>
        <v>strefa świętokrzyska</v>
      </c>
      <c r="H89" s="32">
        <v>152010</v>
      </c>
      <c r="I89" s="32">
        <v>0</v>
      </c>
      <c r="J89" s="32">
        <v>4580</v>
      </c>
      <c r="K89" s="32">
        <v>8580</v>
      </c>
      <c r="L89" s="32">
        <v>9730</v>
      </c>
      <c r="M89" s="32">
        <v>39880</v>
      </c>
      <c r="N89" s="32">
        <v>39880</v>
      </c>
      <c r="O89" s="35">
        <v>49360</v>
      </c>
      <c r="P89" s="35">
        <v>1</v>
      </c>
      <c r="Q89" s="35">
        <v>20</v>
      </c>
    </row>
    <row r="90" spans="1:17" hidden="1" x14ac:dyDescent="0.2">
      <c r="A90" s="1" t="s">
        <v>258</v>
      </c>
      <c r="B90" s="1" t="s">
        <v>259</v>
      </c>
      <c r="C90" s="1" t="str">
        <f>gminy_26[[#This Row],[kod gminy]]</f>
        <v>2601063</v>
      </c>
      <c r="D90" s="1" t="s">
        <v>54</v>
      </c>
      <c r="E90" s="1" t="str">
        <f>VLOOKUP(gminy_26[[#This Row],[kod powiatu]],powiaty_26[],katalogi!$B$1,FALSE)</f>
        <v>buski</v>
      </c>
      <c r="F90" s="1" t="s">
        <v>52</v>
      </c>
      <c r="G90" s="1" t="str">
        <f>VLOOKUP(gminy_26[[#This Row],[kod strefy]],strefy_26[],2,FALSE)</f>
        <v>strefa świętokrzyska</v>
      </c>
      <c r="H90" s="32">
        <v>74030</v>
      </c>
      <c r="I90" s="32">
        <v>0</v>
      </c>
      <c r="J90" s="32">
        <v>3120</v>
      </c>
      <c r="K90" s="32">
        <v>5850</v>
      </c>
      <c r="L90" s="32">
        <v>6630</v>
      </c>
      <c r="M90" s="32">
        <v>18310</v>
      </c>
      <c r="N90" s="32">
        <v>18310</v>
      </c>
      <c r="O90" s="35">
        <v>21810</v>
      </c>
      <c r="P90" s="35">
        <v>1</v>
      </c>
      <c r="Q90" s="35">
        <v>20</v>
      </c>
    </row>
    <row r="91" spans="1:17" x14ac:dyDescent="0.2">
      <c r="A91" s="1" t="s">
        <v>260</v>
      </c>
      <c r="B91" s="1" t="s">
        <v>261</v>
      </c>
      <c r="C91" s="1" t="str">
        <f>gminy_26[[#This Row],[kod gminy]]</f>
        <v>2604182</v>
      </c>
      <c r="D91" s="1" t="s">
        <v>57</v>
      </c>
      <c r="E91" s="1" t="str">
        <f>VLOOKUP(gminy_26[[#This Row],[kod powiatu]],powiaty_26[],katalogi!$B$1,FALSE)</f>
        <v>kielecki</v>
      </c>
      <c r="F91" s="1" t="s">
        <v>52</v>
      </c>
      <c r="G91" s="1" t="str">
        <f>VLOOKUP(gminy_26[[#This Row],[kod strefy]],strefy_26[],2,FALSE)</f>
        <v>strefa świętokrzyska</v>
      </c>
      <c r="H91" s="32">
        <v>127580</v>
      </c>
      <c r="I91" s="32">
        <v>0</v>
      </c>
      <c r="J91" s="32">
        <v>5070</v>
      </c>
      <c r="K91" s="32">
        <v>9500</v>
      </c>
      <c r="L91" s="32">
        <v>10760</v>
      </c>
      <c r="M91" s="32">
        <v>31940</v>
      </c>
      <c r="N91" s="32">
        <v>31940</v>
      </c>
      <c r="O91" s="35">
        <v>38370</v>
      </c>
      <c r="P91" s="35">
        <v>1</v>
      </c>
      <c r="Q91" s="35">
        <v>5</v>
      </c>
    </row>
    <row r="92" spans="1:17" hidden="1" x14ac:dyDescent="0.2">
      <c r="A92" s="1" t="s">
        <v>262</v>
      </c>
      <c r="B92" s="1" t="s">
        <v>263</v>
      </c>
      <c r="C92" s="1" t="str">
        <f>gminy_26[[#This Row],[kod gminy]]</f>
        <v>2610053</v>
      </c>
      <c r="D92" s="1" t="s">
        <v>63</v>
      </c>
      <c r="E92" s="1" t="str">
        <f>VLOOKUP(gminy_26[[#This Row],[kod powiatu]],powiaty_26[],katalogi!$B$1,FALSE)</f>
        <v>skarżyski</v>
      </c>
      <c r="F92" s="1" t="s">
        <v>52</v>
      </c>
      <c r="G92" s="1" t="str">
        <f>VLOOKUP(gminy_26[[#This Row],[kod strefy]],strefy_26[],2,FALSE)</f>
        <v>strefa świętokrzyska</v>
      </c>
      <c r="H92" s="32">
        <v>86450</v>
      </c>
      <c r="I92" s="32">
        <v>0</v>
      </c>
      <c r="J92" s="32">
        <v>2260</v>
      </c>
      <c r="K92" s="32">
        <v>4240</v>
      </c>
      <c r="L92" s="32">
        <v>4800</v>
      </c>
      <c r="M92" s="32">
        <v>23110</v>
      </c>
      <c r="N92" s="32">
        <v>23110</v>
      </c>
      <c r="O92" s="35">
        <v>28930</v>
      </c>
      <c r="P92" s="35">
        <v>1</v>
      </c>
      <c r="Q92" s="35">
        <v>20</v>
      </c>
    </row>
    <row r="93" spans="1:17" hidden="1" x14ac:dyDescent="0.2">
      <c r="A93" s="1" t="s">
        <v>264</v>
      </c>
      <c r="B93" s="1" t="s">
        <v>265</v>
      </c>
      <c r="C93" s="1" t="str">
        <f>gminy_26[[#This Row],[kod gminy]]</f>
        <v>2612082</v>
      </c>
      <c r="D93" s="1" t="s">
        <v>65</v>
      </c>
      <c r="E93" s="1" t="str">
        <f>VLOOKUP(gminy_26[[#This Row],[kod powiatu]],powiaty_26[],katalogi!$B$1,FALSE)</f>
        <v>staszowski</v>
      </c>
      <c r="F93" s="1" t="s">
        <v>52</v>
      </c>
      <c r="G93" s="1" t="str">
        <f>VLOOKUP(gminy_26[[#This Row],[kod strefy]],strefy_26[],2,FALSE)</f>
        <v>strefa świętokrzyska</v>
      </c>
      <c r="H93" s="32">
        <v>46840</v>
      </c>
      <c r="I93" s="32">
        <v>0</v>
      </c>
      <c r="J93" s="32">
        <v>2760</v>
      </c>
      <c r="K93" s="32">
        <v>5160</v>
      </c>
      <c r="L93" s="32">
        <v>5850</v>
      </c>
      <c r="M93" s="32">
        <v>10610</v>
      </c>
      <c r="N93" s="32">
        <v>10610</v>
      </c>
      <c r="O93" s="35">
        <v>11850</v>
      </c>
      <c r="P93" s="35">
        <v>1</v>
      </c>
      <c r="Q93" s="35">
        <v>20</v>
      </c>
    </row>
    <row r="94" spans="1:17" hidden="1" x14ac:dyDescent="0.2">
      <c r="A94" s="1" t="s">
        <v>266</v>
      </c>
      <c r="B94" s="1" t="s">
        <v>267</v>
      </c>
      <c r="C94" s="1" t="str">
        <f>gminy_26[[#This Row],[kod gminy]]</f>
        <v>2606072</v>
      </c>
      <c r="D94" s="1" t="s">
        <v>59</v>
      </c>
      <c r="E94" s="1" t="str">
        <f>VLOOKUP(gminy_26[[#This Row],[kod powiatu]],powiaty_26[],katalogi!$B$1,FALSE)</f>
        <v>opatowski</v>
      </c>
      <c r="F94" s="1" t="s">
        <v>52</v>
      </c>
      <c r="G94" s="1" t="str">
        <f>VLOOKUP(gminy_26[[#This Row],[kod strefy]],strefy_26[],2,FALSE)</f>
        <v>strefa świętokrzyska</v>
      </c>
      <c r="H94" s="32">
        <v>35980</v>
      </c>
      <c r="I94" s="32">
        <v>0</v>
      </c>
      <c r="J94" s="32">
        <v>260</v>
      </c>
      <c r="K94" s="32">
        <v>480</v>
      </c>
      <c r="L94" s="32">
        <v>550</v>
      </c>
      <c r="M94" s="32">
        <v>10470</v>
      </c>
      <c r="N94" s="32">
        <v>10470</v>
      </c>
      <c r="O94" s="35">
        <v>13750</v>
      </c>
      <c r="P94" s="35">
        <v>1</v>
      </c>
      <c r="Q94" s="35">
        <v>5</v>
      </c>
    </row>
    <row r="95" spans="1:17" hidden="1" x14ac:dyDescent="0.2">
      <c r="A95" s="1" t="s">
        <v>268</v>
      </c>
      <c r="B95" s="1" t="s">
        <v>269</v>
      </c>
      <c r="C95" s="1" t="str">
        <f>gminy_26[[#This Row],[kod gminy]]</f>
        <v>2601072</v>
      </c>
      <c r="D95" s="1" t="s">
        <v>54</v>
      </c>
      <c r="E95" s="1" t="str">
        <f>VLOOKUP(gminy_26[[#This Row],[kod powiatu]],powiaty_26[],katalogi!$B$1,FALSE)</f>
        <v>buski</v>
      </c>
      <c r="F95" s="1" t="s">
        <v>52</v>
      </c>
      <c r="G95" s="1" t="str">
        <f>VLOOKUP(gminy_26[[#This Row],[kod strefy]],strefy_26[],2,FALSE)</f>
        <v>strefa świętokrzyska</v>
      </c>
      <c r="H95" s="32">
        <v>34900</v>
      </c>
      <c r="I95" s="32">
        <v>0</v>
      </c>
      <c r="J95" s="32">
        <v>1460</v>
      </c>
      <c r="K95" s="32">
        <v>2730</v>
      </c>
      <c r="L95" s="32">
        <v>3100</v>
      </c>
      <c r="M95" s="32">
        <v>8650</v>
      </c>
      <c r="N95" s="32">
        <v>8650</v>
      </c>
      <c r="O95" s="35">
        <v>10310</v>
      </c>
      <c r="P95" s="35">
        <v>1</v>
      </c>
      <c r="Q95" s="35">
        <v>5</v>
      </c>
    </row>
    <row r="96" spans="1:17" hidden="1" x14ac:dyDescent="0.2">
      <c r="A96" s="1" t="s">
        <v>270</v>
      </c>
      <c r="B96" s="1" t="s">
        <v>271</v>
      </c>
      <c r="C96" s="1" t="str">
        <f>gminy_26[[#This Row],[kod gminy]]</f>
        <v>2607062</v>
      </c>
      <c r="D96" s="1" t="s">
        <v>60</v>
      </c>
      <c r="E96" s="1" t="str">
        <f>VLOOKUP(gminy_26[[#This Row],[kod powiatu]],powiaty_26[],katalogi!$B$1,FALSE)</f>
        <v>ostrowiecki</v>
      </c>
      <c r="F96" s="1" t="s">
        <v>52</v>
      </c>
      <c r="G96" s="1" t="str">
        <f>VLOOKUP(gminy_26[[#This Row],[kod strefy]],strefy_26[],2,FALSE)</f>
        <v>strefa świętokrzyska</v>
      </c>
      <c r="H96" s="32">
        <v>76760</v>
      </c>
      <c r="I96" s="32">
        <v>0</v>
      </c>
      <c r="J96" s="32">
        <v>3320</v>
      </c>
      <c r="K96" s="32">
        <v>6220</v>
      </c>
      <c r="L96" s="32">
        <v>7050</v>
      </c>
      <c r="M96" s="32">
        <v>18880</v>
      </c>
      <c r="N96" s="32">
        <v>18880</v>
      </c>
      <c r="O96" s="35">
        <v>22410</v>
      </c>
      <c r="P96" s="35">
        <v>1</v>
      </c>
      <c r="Q96" s="35">
        <v>5</v>
      </c>
    </row>
    <row r="97" spans="1:17" hidden="1" x14ac:dyDescent="0.2">
      <c r="A97" s="1" t="s">
        <v>272</v>
      </c>
      <c r="B97" s="1" t="s">
        <v>273</v>
      </c>
      <c r="C97" s="1" t="str">
        <f>gminy_26[[#This Row],[kod gminy]]</f>
        <v>2611053</v>
      </c>
      <c r="D97" s="1" t="s">
        <v>64</v>
      </c>
      <c r="E97" s="1" t="str">
        <f>VLOOKUP(gminy_26[[#This Row],[kod powiatu]],powiaty_26[],katalogi!$B$1,FALSE)</f>
        <v>starachowicki</v>
      </c>
      <c r="F97" s="1" t="s">
        <v>52</v>
      </c>
      <c r="G97" s="1" t="str">
        <f>VLOOKUP(gminy_26[[#This Row],[kod strefy]],strefy_26[],2,FALSE)</f>
        <v>strefa świętokrzyska</v>
      </c>
      <c r="H97" s="32">
        <v>58330</v>
      </c>
      <c r="I97" s="32">
        <v>0</v>
      </c>
      <c r="J97" s="32">
        <v>1620</v>
      </c>
      <c r="K97" s="32">
        <v>3030</v>
      </c>
      <c r="L97" s="32">
        <v>3430</v>
      </c>
      <c r="M97" s="32">
        <v>15480</v>
      </c>
      <c r="N97" s="32">
        <v>15480</v>
      </c>
      <c r="O97" s="35">
        <v>19290</v>
      </c>
      <c r="P97" s="35">
        <v>1</v>
      </c>
      <c r="Q97" s="35">
        <v>20</v>
      </c>
    </row>
    <row r="98" spans="1:17" hidden="1" x14ac:dyDescent="0.2">
      <c r="A98" s="1" t="s">
        <v>274</v>
      </c>
      <c r="B98" s="1" t="s">
        <v>275</v>
      </c>
      <c r="C98" s="1" t="str">
        <f>gminy_26[[#This Row],[kod gminy]]</f>
        <v>2609082</v>
      </c>
      <c r="D98" s="1" t="s">
        <v>62</v>
      </c>
      <c r="E98" s="1" t="str">
        <f>VLOOKUP(gminy_26[[#This Row],[kod powiatu]],powiaty_26[],katalogi!$B$1,FALSE)</f>
        <v>sandomierski</v>
      </c>
      <c r="F98" s="1" t="s">
        <v>52</v>
      </c>
      <c r="G98" s="1" t="str">
        <f>VLOOKUP(gminy_26[[#This Row],[kod strefy]],strefy_26[],2,FALSE)</f>
        <v>strefa świętokrzyska</v>
      </c>
      <c r="H98" s="32">
        <v>21340</v>
      </c>
      <c r="I98" s="32">
        <v>0</v>
      </c>
      <c r="J98" s="32">
        <v>730</v>
      </c>
      <c r="K98" s="32">
        <v>1370</v>
      </c>
      <c r="L98" s="32">
        <v>1550</v>
      </c>
      <c r="M98" s="32">
        <v>5490</v>
      </c>
      <c r="N98" s="32">
        <v>5490</v>
      </c>
      <c r="O98" s="35">
        <v>6710</v>
      </c>
      <c r="P98" s="35">
        <v>1</v>
      </c>
      <c r="Q98" s="35">
        <v>5</v>
      </c>
    </row>
    <row r="99" spans="1:17" hidden="1" x14ac:dyDescent="0.2">
      <c r="A99" s="1" t="s">
        <v>276</v>
      </c>
      <c r="B99" s="1" t="s">
        <v>277</v>
      </c>
      <c r="C99" s="1" t="str">
        <f>gminy_26[[#This Row],[kod gminy]]</f>
        <v>2601083</v>
      </c>
      <c r="D99" s="1" t="s">
        <v>54</v>
      </c>
      <c r="E99" s="1" t="str">
        <f>VLOOKUP(gminy_26[[#This Row],[kod powiatu]],powiaty_26[],katalogi!$B$1,FALSE)</f>
        <v>buski</v>
      </c>
      <c r="F99" s="1" t="s">
        <v>52</v>
      </c>
      <c r="G99" s="1" t="str">
        <f>VLOOKUP(gminy_26[[#This Row],[kod strefy]],strefy_26[],2,FALSE)</f>
        <v>strefa świętokrzyska</v>
      </c>
      <c r="H99" s="32">
        <v>53480</v>
      </c>
      <c r="I99" s="32">
        <v>0</v>
      </c>
      <c r="J99" s="32">
        <v>2200</v>
      </c>
      <c r="K99" s="32">
        <v>4110</v>
      </c>
      <c r="L99" s="32">
        <v>4660</v>
      </c>
      <c r="M99" s="32">
        <v>13300</v>
      </c>
      <c r="N99" s="32">
        <v>13300</v>
      </c>
      <c r="O99" s="35">
        <v>15910</v>
      </c>
      <c r="P99" s="35">
        <v>1</v>
      </c>
      <c r="Q99" s="35">
        <v>20</v>
      </c>
    </row>
    <row r="100" spans="1:17" hidden="1" x14ac:dyDescent="0.2">
      <c r="A100" s="1" t="s">
        <v>278</v>
      </c>
      <c r="B100" s="1" t="s">
        <v>279</v>
      </c>
      <c r="C100" s="1" t="str">
        <f>gminy_26[[#This Row],[kod gminy]]</f>
        <v>2613063</v>
      </c>
      <c r="D100" s="1" t="s">
        <v>66</v>
      </c>
      <c r="E100" s="1" t="str">
        <f>VLOOKUP(gminy_26[[#This Row],[kod powiatu]],powiaty_26[],katalogi!$B$1,FALSE)</f>
        <v>włoszczowski</v>
      </c>
      <c r="F100" s="1" t="s">
        <v>52</v>
      </c>
      <c r="G100" s="1" t="str">
        <f>VLOOKUP(gminy_26[[#This Row],[kod strefy]],strefy_26[],2,FALSE)</f>
        <v>strefa świętokrzyska</v>
      </c>
      <c r="H100" s="32">
        <v>138320</v>
      </c>
      <c r="I100" s="32">
        <v>0</v>
      </c>
      <c r="J100" s="32">
        <v>2220</v>
      </c>
      <c r="K100" s="32">
        <v>4150</v>
      </c>
      <c r="L100" s="32">
        <v>4700</v>
      </c>
      <c r="M100" s="32">
        <v>38730</v>
      </c>
      <c r="N100" s="32">
        <v>38730</v>
      </c>
      <c r="O100" s="35">
        <v>49790</v>
      </c>
      <c r="P100" s="35">
        <v>1</v>
      </c>
      <c r="Q100" s="35">
        <v>20</v>
      </c>
    </row>
    <row r="101" spans="1:17" hidden="1" x14ac:dyDescent="0.2">
      <c r="A101" s="1" t="s">
        <v>280</v>
      </c>
      <c r="B101" s="1" t="s">
        <v>281</v>
      </c>
      <c r="C101" s="1" t="str">
        <f>gminy_26[[#This Row],[kod gminy]]</f>
        <v>2602092</v>
      </c>
      <c r="D101" s="1" t="s">
        <v>55</v>
      </c>
      <c r="E101" s="1" t="str">
        <f>VLOOKUP(gminy_26[[#This Row],[kod powiatu]],powiaty_26[],katalogi!$B$1,FALSE)</f>
        <v>jędrzejowski</v>
      </c>
      <c r="F101" s="1" t="s">
        <v>52</v>
      </c>
      <c r="G101" s="1" t="str">
        <f>VLOOKUP(gminy_26[[#This Row],[kod strefy]],strefy_26[],2,FALSE)</f>
        <v>strefa świętokrzyska</v>
      </c>
      <c r="H101" s="32">
        <v>75050</v>
      </c>
      <c r="I101" s="32">
        <v>0</v>
      </c>
      <c r="J101" s="32">
        <v>3130</v>
      </c>
      <c r="K101" s="32">
        <v>5870</v>
      </c>
      <c r="L101" s="32">
        <v>6650</v>
      </c>
      <c r="M101" s="32">
        <v>18600</v>
      </c>
      <c r="N101" s="32">
        <v>18600</v>
      </c>
      <c r="O101" s="35">
        <v>22200</v>
      </c>
      <c r="P101" s="35">
        <v>1</v>
      </c>
      <c r="Q101" s="35">
        <v>20</v>
      </c>
    </row>
    <row r="102" spans="1:17" hidden="1" x14ac:dyDescent="0.2">
      <c r="A102" s="1" t="s">
        <v>282</v>
      </c>
      <c r="B102" s="1" t="s">
        <v>283</v>
      </c>
      <c r="C102" s="1" t="str">
        <f>gminy_26[[#This Row],[kod gminy]]</f>
        <v>2606082</v>
      </c>
      <c r="D102" s="1" t="s">
        <v>59</v>
      </c>
      <c r="E102" s="1" t="str">
        <f>VLOOKUP(gminy_26[[#This Row],[kod powiatu]],powiaty_26[],katalogi!$B$1,FALSE)</f>
        <v>opatowski</v>
      </c>
      <c r="F102" s="1" t="s">
        <v>52</v>
      </c>
      <c r="G102" s="1" t="str">
        <f>VLOOKUP(gminy_26[[#This Row],[kod strefy]],strefy_26[],2,FALSE)</f>
        <v>strefa świętokrzyska</v>
      </c>
      <c r="H102" s="32">
        <v>25670</v>
      </c>
      <c r="I102" s="32">
        <v>0</v>
      </c>
      <c r="J102" s="32">
        <v>210</v>
      </c>
      <c r="K102" s="32">
        <v>390</v>
      </c>
      <c r="L102" s="32">
        <v>440</v>
      </c>
      <c r="M102" s="32">
        <v>7440</v>
      </c>
      <c r="N102" s="32">
        <v>7440</v>
      </c>
      <c r="O102" s="35">
        <v>9750</v>
      </c>
      <c r="P102" s="35">
        <v>1</v>
      </c>
      <c r="Q102" s="35">
        <v>5</v>
      </c>
    </row>
    <row r="103" spans="1:17" x14ac:dyDescent="0.2">
      <c r="A103" s="1" t="s">
        <v>284</v>
      </c>
      <c r="B103" s="1" t="s">
        <v>285</v>
      </c>
      <c r="C103" s="1" t="str">
        <f>gminy_26[[#This Row],[kod gminy]]</f>
        <v>2604192</v>
      </c>
      <c r="D103" s="1" t="s">
        <v>57</v>
      </c>
      <c r="E103" s="1" t="str">
        <f>VLOOKUP(gminy_26[[#This Row],[kod powiatu]],powiaty_26[],katalogi!$B$1,FALSE)</f>
        <v>kielecki</v>
      </c>
      <c r="F103" s="1" t="s">
        <v>52</v>
      </c>
      <c r="G103" s="1" t="str">
        <f>VLOOKUP(gminy_26[[#This Row],[kod strefy]],strefy_26[],2,FALSE)</f>
        <v>strefa świętokrzyska</v>
      </c>
      <c r="H103" s="32">
        <v>106330</v>
      </c>
      <c r="I103" s="32">
        <v>0</v>
      </c>
      <c r="J103" s="32">
        <v>4220</v>
      </c>
      <c r="K103" s="32">
        <v>7920</v>
      </c>
      <c r="L103" s="32">
        <v>8970</v>
      </c>
      <c r="M103" s="32">
        <v>26620</v>
      </c>
      <c r="N103" s="32">
        <v>26620</v>
      </c>
      <c r="O103" s="35">
        <v>31980</v>
      </c>
      <c r="P103" s="35">
        <v>1</v>
      </c>
      <c r="Q103" s="35">
        <v>5</v>
      </c>
    </row>
    <row r="104" spans="1:17" hidden="1" x14ac:dyDescent="0.2">
      <c r="A104" s="1" t="s">
        <v>286</v>
      </c>
      <c r="B104" s="1" t="s">
        <v>287</v>
      </c>
      <c r="C104" s="1" t="str">
        <f>gminy_26[[#This Row],[kod gminy]]</f>
        <v>2609093</v>
      </c>
      <c r="D104" s="1" t="s">
        <v>62</v>
      </c>
      <c r="E104" s="1" t="str">
        <f>VLOOKUP(gminy_26[[#This Row],[kod powiatu]],powiaty_26[],katalogi!$B$1,FALSE)</f>
        <v>sandomierski</v>
      </c>
      <c r="F104" s="1" t="s">
        <v>52</v>
      </c>
      <c r="G104" s="1" t="str">
        <f>VLOOKUP(gminy_26[[#This Row],[kod strefy]],strefy_26[],2,FALSE)</f>
        <v>strefa świętokrzyska</v>
      </c>
      <c r="H104" s="32">
        <v>24790</v>
      </c>
      <c r="I104" s="32">
        <v>0</v>
      </c>
      <c r="J104" s="32">
        <v>850</v>
      </c>
      <c r="K104" s="32">
        <v>1580</v>
      </c>
      <c r="L104" s="32">
        <v>1790</v>
      </c>
      <c r="M104" s="32">
        <v>6380</v>
      </c>
      <c r="N104" s="32">
        <v>6380</v>
      </c>
      <c r="O104" s="35">
        <v>7810</v>
      </c>
      <c r="P104" s="35">
        <v>1</v>
      </c>
      <c r="Q104" s="35">
        <v>20</v>
      </c>
    </row>
    <row r="105" spans="1:17" hidden="1" x14ac:dyDescent="0.2">
      <c r="A105" s="1" t="s">
        <v>288</v>
      </c>
      <c r="B105" s="1" t="s">
        <v>289</v>
      </c>
      <c r="C105" s="1" t="str">
        <f>gminy_26[[#This Row],[kod gminy]]</f>
        <v>2608052</v>
      </c>
      <c r="D105" s="1" t="s">
        <v>61</v>
      </c>
      <c r="E105" s="1" t="str">
        <f>VLOOKUP(gminy_26[[#This Row],[kod powiatu]],powiaty_26[],katalogi!$B$1,FALSE)</f>
        <v>pińczowski</v>
      </c>
      <c r="F105" s="1" t="s">
        <v>52</v>
      </c>
      <c r="G105" s="1" t="str">
        <f>VLOOKUP(gminy_26[[#This Row],[kod strefy]],strefy_26[],2,FALSE)</f>
        <v>strefa świętokrzyska</v>
      </c>
      <c r="H105" s="32">
        <v>46890</v>
      </c>
      <c r="I105" s="32">
        <v>0</v>
      </c>
      <c r="J105" s="32">
        <v>500</v>
      </c>
      <c r="K105" s="32">
        <v>940</v>
      </c>
      <c r="L105" s="32">
        <v>1060</v>
      </c>
      <c r="M105" s="32">
        <v>13440</v>
      </c>
      <c r="N105" s="32">
        <v>13440</v>
      </c>
      <c r="O105" s="35">
        <v>17510</v>
      </c>
      <c r="P105" s="35">
        <v>1</v>
      </c>
      <c r="Q105" s="35">
        <v>5</v>
      </c>
    </row>
    <row r="112" spans="1:17" x14ac:dyDescent="0.2">
      <c r="A112" s="1" t="s">
        <v>398</v>
      </c>
      <c r="B112" s="1" t="s">
        <v>291</v>
      </c>
      <c r="C112" s="1" t="s">
        <v>68</v>
      </c>
      <c r="D112" s="1" t="s">
        <v>69</v>
      </c>
      <c r="E112" s="1" t="s">
        <v>70</v>
      </c>
      <c r="F112" s="1" t="s">
        <v>71</v>
      </c>
      <c r="G112" s="1" t="s">
        <v>72</v>
      </c>
      <c r="H112" s="1" t="s">
        <v>73</v>
      </c>
      <c r="I112" s="1" t="s">
        <v>74</v>
      </c>
      <c r="J112" s="1" t="s">
        <v>75</v>
      </c>
      <c r="K112" s="1" t="s">
        <v>76</v>
      </c>
      <c r="L112" s="1" t="s">
        <v>77</v>
      </c>
      <c r="M112" s="1" t="s">
        <v>78</v>
      </c>
      <c r="N112" s="1" t="s">
        <v>79</v>
      </c>
      <c r="O112" s="1" t="s">
        <v>80</v>
      </c>
    </row>
    <row r="113" spans="1:15" x14ac:dyDescent="0.2">
      <c r="A113" s="1" t="s">
        <v>291</v>
      </c>
      <c r="B113" s="1" t="s">
        <v>291</v>
      </c>
      <c r="C113" s="1" t="s">
        <v>110</v>
      </c>
      <c r="D113" s="1" t="s">
        <v>134</v>
      </c>
      <c r="E113" s="1" t="s">
        <v>96</v>
      </c>
      <c r="F113" s="1" t="s">
        <v>98</v>
      </c>
      <c r="G113" s="1" t="s">
        <v>126</v>
      </c>
      <c r="H113" s="1" t="s">
        <v>92</v>
      </c>
      <c r="I113" s="1" t="s">
        <v>94</v>
      </c>
      <c r="J113" s="1" t="s">
        <v>124</v>
      </c>
      <c r="K113" s="1" t="s">
        <v>122</v>
      </c>
      <c r="L113" s="1" t="s">
        <v>100</v>
      </c>
      <c r="M113" s="1" t="s">
        <v>108</v>
      </c>
      <c r="N113" s="1" t="s">
        <v>106</v>
      </c>
      <c r="O113" s="1" t="s">
        <v>146</v>
      </c>
    </row>
    <row r="114" spans="1:15" x14ac:dyDescent="0.2">
      <c r="A114" s="1" t="s">
        <v>68</v>
      </c>
      <c r="C114" s="1" t="s">
        <v>128</v>
      </c>
      <c r="D114" s="1" t="s">
        <v>138</v>
      </c>
      <c r="E114" s="1" t="s">
        <v>116</v>
      </c>
      <c r="F114" s="1" t="s">
        <v>104</v>
      </c>
      <c r="G114" s="1" t="s">
        <v>130</v>
      </c>
      <c r="H114" s="1" t="s">
        <v>136</v>
      </c>
      <c r="I114" s="1" t="s">
        <v>102</v>
      </c>
      <c r="J114" s="1" t="s">
        <v>142</v>
      </c>
      <c r="K114" s="1" t="s">
        <v>144</v>
      </c>
      <c r="L114" s="1" t="s">
        <v>160</v>
      </c>
      <c r="M114" s="1" t="s">
        <v>176</v>
      </c>
      <c r="N114" s="1" t="s">
        <v>166</v>
      </c>
      <c r="O114" s="1" t="s">
        <v>152</v>
      </c>
    </row>
    <row r="115" spans="1:15" x14ac:dyDescent="0.2">
      <c r="A115" s="1" t="s">
        <v>69</v>
      </c>
      <c r="C115" s="1" t="s">
        <v>188</v>
      </c>
      <c r="D115" s="1" t="s">
        <v>168</v>
      </c>
      <c r="E115" s="1" t="s">
        <v>140</v>
      </c>
      <c r="F115" s="1" t="s">
        <v>112</v>
      </c>
      <c r="G115" s="1" t="s">
        <v>148</v>
      </c>
      <c r="H115" s="1" t="s">
        <v>156</v>
      </c>
      <c r="I115" s="1" t="s">
        <v>118</v>
      </c>
      <c r="J115" s="1" t="s">
        <v>172</v>
      </c>
      <c r="K115" s="1" t="s">
        <v>150</v>
      </c>
      <c r="L115" s="1" t="s">
        <v>240</v>
      </c>
      <c r="M115" s="1" t="s">
        <v>207</v>
      </c>
      <c r="N115" s="1" t="s">
        <v>194</v>
      </c>
      <c r="O115" s="1" t="s">
        <v>182</v>
      </c>
    </row>
    <row r="116" spans="1:15" x14ac:dyDescent="0.2">
      <c r="A116" s="1" t="s">
        <v>70</v>
      </c>
      <c r="C116" s="1" t="s">
        <v>205</v>
      </c>
      <c r="D116" s="1" t="s">
        <v>184</v>
      </c>
      <c r="E116" s="1" t="s">
        <v>196</v>
      </c>
      <c r="F116" s="1" t="s">
        <v>114</v>
      </c>
      <c r="G116" s="1" t="s">
        <v>219</v>
      </c>
      <c r="H116" s="1" t="s">
        <v>16</v>
      </c>
      <c r="I116" s="1" t="s">
        <v>154</v>
      </c>
      <c r="J116" s="1" t="s">
        <v>213</v>
      </c>
      <c r="K116" s="1" t="s">
        <v>162</v>
      </c>
      <c r="L116" s="1" t="s">
        <v>242</v>
      </c>
      <c r="M116" s="1" t="s">
        <v>253</v>
      </c>
      <c r="N116" s="1" t="s">
        <v>199</v>
      </c>
      <c r="O116" s="1" t="s">
        <v>217</v>
      </c>
    </row>
    <row r="117" spans="1:15" x14ac:dyDescent="0.2">
      <c r="A117" s="1" t="s">
        <v>71</v>
      </c>
      <c r="C117" s="1" t="s">
        <v>251</v>
      </c>
      <c r="D117" s="1" t="s">
        <v>192</v>
      </c>
      <c r="E117" s="1" t="s">
        <v>238</v>
      </c>
      <c r="F117" s="1" t="s">
        <v>120</v>
      </c>
      <c r="G117" s="1" t="s">
        <v>223</v>
      </c>
      <c r="H117" s="1" t="s">
        <v>203</v>
      </c>
      <c r="I117" s="1" t="s">
        <v>201</v>
      </c>
      <c r="J117" s="1" t="s">
        <v>289</v>
      </c>
      <c r="K117" s="1" t="s">
        <v>190</v>
      </c>
      <c r="L117" s="1" t="s">
        <v>263</v>
      </c>
      <c r="M117" s="1" t="s">
        <v>273</v>
      </c>
      <c r="N117" s="1" t="s">
        <v>215</v>
      </c>
      <c r="O117" s="1" t="s">
        <v>233</v>
      </c>
    </row>
    <row r="118" spans="1:15" x14ac:dyDescent="0.2">
      <c r="A118" s="1" t="s">
        <v>72</v>
      </c>
      <c r="C118" s="1" t="s">
        <v>259</v>
      </c>
      <c r="D118" s="1" t="s">
        <v>235</v>
      </c>
      <c r="F118" s="1" t="s">
        <v>132</v>
      </c>
      <c r="G118" s="1" t="s">
        <v>423</v>
      </c>
      <c r="H118" s="1" t="s">
        <v>227</v>
      </c>
      <c r="I118" s="1" t="s">
        <v>271</v>
      </c>
      <c r="K118" s="1" t="s">
        <v>229</v>
      </c>
      <c r="N118" s="1" t="s">
        <v>225</v>
      </c>
      <c r="O118" s="1" t="s">
        <v>279</v>
      </c>
    </row>
    <row r="119" spans="1:15" x14ac:dyDescent="0.2">
      <c r="A119" s="1" t="s">
        <v>73</v>
      </c>
      <c r="C119" s="1" t="s">
        <v>269</v>
      </c>
      <c r="D119" s="1" t="s">
        <v>244</v>
      </c>
      <c r="F119" s="1" t="s">
        <v>158</v>
      </c>
      <c r="G119" s="1" t="s">
        <v>247</v>
      </c>
      <c r="H119" s="1" t="s">
        <v>267</v>
      </c>
      <c r="K119" s="1" t="s">
        <v>231</v>
      </c>
      <c r="N119" s="1" t="s">
        <v>255</v>
      </c>
    </row>
    <row r="120" spans="1:15" x14ac:dyDescent="0.2">
      <c r="A120" s="1" t="s">
        <v>74</v>
      </c>
      <c r="C120" s="1" t="s">
        <v>277</v>
      </c>
      <c r="D120" s="1" t="s">
        <v>249</v>
      </c>
      <c r="F120" s="1" t="s">
        <v>164</v>
      </c>
      <c r="G120" s="1" t="s">
        <v>257</v>
      </c>
      <c r="H120" s="1" t="s">
        <v>283</v>
      </c>
      <c r="K120" s="1" t="s">
        <v>275</v>
      </c>
      <c r="N120" s="1" t="s">
        <v>265</v>
      </c>
    </row>
    <row r="121" spans="1:15" x14ac:dyDescent="0.2">
      <c r="A121" s="1" t="s">
        <v>75</v>
      </c>
      <c r="D121" s="1" t="s">
        <v>281</v>
      </c>
      <c r="F121" s="1" t="s">
        <v>170</v>
      </c>
      <c r="K121" s="1" t="s">
        <v>287</v>
      </c>
    </row>
    <row r="122" spans="1:15" x14ac:dyDescent="0.2">
      <c r="A122" s="1" t="s">
        <v>76</v>
      </c>
      <c r="F122" s="1" t="s">
        <v>174</v>
      </c>
    </row>
    <row r="123" spans="1:15" x14ac:dyDescent="0.2">
      <c r="A123" s="1" t="s">
        <v>77</v>
      </c>
      <c r="F123" s="1" t="s">
        <v>178</v>
      </c>
    </row>
    <row r="124" spans="1:15" x14ac:dyDescent="0.2">
      <c r="A124" s="1" t="s">
        <v>78</v>
      </c>
      <c r="F124" s="1" t="s">
        <v>180</v>
      </c>
    </row>
    <row r="125" spans="1:15" x14ac:dyDescent="0.2">
      <c r="A125" s="1" t="s">
        <v>79</v>
      </c>
      <c r="F125" s="1" t="s">
        <v>186</v>
      </c>
    </row>
    <row r="126" spans="1:15" x14ac:dyDescent="0.2">
      <c r="A126" s="1" t="s">
        <v>80</v>
      </c>
      <c r="F126" s="1" t="s">
        <v>209</v>
      </c>
    </row>
    <row r="127" spans="1:15" x14ac:dyDescent="0.2">
      <c r="F127" s="1" t="s">
        <v>211</v>
      </c>
    </row>
    <row r="128" spans="1:15" x14ac:dyDescent="0.2">
      <c r="F128" s="1" t="s">
        <v>221</v>
      </c>
    </row>
    <row r="129" spans="1:6" x14ac:dyDescent="0.2">
      <c r="F129" s="1" t="s">
        <v>422</v>
      </c>
    </row>
    <row r="130" spans="1:6" x14ac:dyDescent="0.2">
      <c r="F130" s="1" t="s">
        <v>261</v>
      </c>
    </row>
    <row r="131" spans="1:6" x14ac:dyDescent="0.2">
      <c r="F131" s="1" t="s">
        <v>285</v>
      </c>
    </row>
    <row r="136" spans="1:6" ht="12.75" x14ac:dyDescent="0.2">
      <c r="A136" t="s">
        <v>104</v>
      </c>
    </row>
    <row r="137" spans="1:6" ht="12.75" x14ac:dyDescent="0.2">
      <c r="A137" t="s">
        <v>110</v>
      </c>
    </row>
    <row r="138" spans="1:6" ht="12.75" x14ac:dyDescent="0.2">
      <c r="A138" t="s">
        <v>112</v>
      </c>
    </row>
    <row r="139" spans="1:6" ht="12.75" x14ac:dyDescent="0.2">
      <c r="A139" t="s">
        <v>114</v>
      </c>
    </row>
    <row r="140" spans="1:6" ht="12.75" x14ac:dyDescent="0.2">
      <c r="A140" t="s">
        <v>118</v>
      </c>
    </row>
    <row r="141" spans="1:6" ht="12.75" x14ac:dyDescent="0.2">
      <c r="A141" t="s">
        <v>120</v>
      </c>
    </row>
    <row r="142" spans="1:6" ht="12.75" x14ac:dyDescent="0.2">
      <c r="A142" t="s">
        <v>124</v>
      </c>
    </row>
    <row r="143" spans="1:6" ht="12.75" x14ac:dyDescent="0.2">
      <c r="A143" t="s">
        <v>138</v>
      </c>
    </row>
    <row r="144" spans="1:6" ht="12.75" x14ac:dyDescent="0.2">
      <c r="A144" t="s">
        <v>140</v>
      </c>
    </row>
    <row r="145" spans="1:1" ht="12.75" x14ac:dyDescent="0.2">
      <c r="A145" t="s">
        <v>291</v>
      </c>
    </row>
    <row r="146" spans="1:1" ht="12.75" x14ac:dyDescent="0.2">
      <c r="A146" t="s">
        <v>144</v>
      </c>
    </row>
    <row r="147" spans="1:1" ht="12.75" x14ac:dyDescent="0.2">
      <c r="A147" t="s">
        <v>148</v>
      </c>
    </row>
    <row r="148" spans="1:1" ht="12.75" x14ac:dyDescent="0.2">
      <c r="A148" t="s">
        <v>150</v>
      </c>
    </row>
    <row r="149" spans="1:1" ht="12.75" x14ac:dyDescent="0.2">
      <c r="A149" t="s">
        <v>154</v>
      </c>
    </row>
    <row r="150" spans="1:1" ht="12.75" x14ac:dyDescent="0.2">
      <c r="A150" t="s">
        <v>158</v>
      </c>
    </row>
    <row r="151" spans="1:1" ht="12.75" x14ac:dyDescent="0.2">
      <c r="A151" t="s">
        <v>168</v>
      </c>
    </row>
    <row r="152" spans="1:1" ht="12.75" x14ac:dyDescent="0.2">
      <c r="A152" t="s">
        <v>180</v>
      </c>
    </row>
    <row r="153" spans="1:1" ht="12.75" x14ac:dyDescent="0.2">
      <c r="A153" t="s">
        <v>186</v>
      </c>
    </row>
    <row r="154" spans="1:1" ht="12.75" x14ac:dyDescent="0.2">
      <c r="A154" t="s">
        <v>188</v>
      </c>
    </row>
    <row r="155" spans="1:1" ht="12.75" x14ac:dyDescent="0.2">
      <c r="A155" t="s">
        <v>194</v>
      </c>
    </row>
    <row r="156" spans="1:1" ht="12.75" x14ac:dyDescent="0.2">
      <c r="A156" t="s">
        <v>196</v>
      </c>
    </row>
    <row r="157" spans="1:1" ht="12.75" x14ac:dyDescent="0.2">
      <c r="A157" t="s">
        <v>16</v>
      </c>
    </row>
    <row r="158" spans="1:1" ht="12.75" x14ac:dyDescent="0.2">
      <c r="A158" t="s">
        <v>199</v>
      </c>
    </row>
    <row r="159" spans="1:1" ht="12.75" x14ac:dyDescent="0.2">
      <c r="A159" t="s">
        <v>201</v>
      </c>
    </row>
    <row r="160" spans="1:1" ht="12.75" x14ac:dyDescent="0.2">
      <c r="A160" t="s">
        <v>203</v>
      </c>
    </row>
    <row r="161" spans="1:1" ht="12.75" x14ac:dyDescent="0.2">
      <c r="A161" t="s">
        <v>205</v>
      </c>
    </row>
    <row r="162" spans="1:1" ht="12.75" x14ac:dyDescent="0.2">
      <c r="A162" t="s">
        <v>211</v>
      </c>
    </row>
    <row r="163" spans="1:1" ht="12.75" x14ac:dyDescent="0.2">
      <c r="A163" t="s">
        <v>213</v>
      </c>
    </row>
    <row r="164" spans="1:1" ht="12.75" x14ac:dyDescent="0.2">
      <c r="A164" t="s">
        <v>215</v>
      </c>
    </row>
    <row r="165" spans="1:1" ht="12.75" x14ac:dyDescent="0.2">
      <c r="A165" t="s">
        <v>219</v>
      </c>
    </row>
    <row r="166" spans="1:1" ht="12.75" x14ac:dyDescent="0.2">
      <c r="A166" t="s">
        <v>231</v>
      </c>
    </row>
    <row r="167" spans="1:1" ht="12.75" x14ac:dyDescent="0.2">
      <c r="A167" t="s">
        <v>235</v>
      </c>
    </row>
    <row r="168" spans="1:1" ht="12.75" x14ac:dyDescent="0.2">
      <c r="A168" t="s">
        <v>238</v>
      </c>
    </row>
    <row r="169" spans="1:1" ht="12.75" x14ac:dyDescent="0.2">
      <c r="A169" t="s">
        <v>242</v>
      </c>
    </row>
    <row r="170" spans="1:1" ht="12.75" x14ac:dyDescent="0.2">
      <c r="A170" t="s">
        <v>253</v>
      </c>
    </row>
    <row r="171" spans="1:1" ht="12.75" x14ac:dyDescent="0.2">
      <c r="A171" t="s">
        <v>255</v>
      </c>
    </row>
    <row r="172" spans="1:1" ht="12.75" x14ac:dyDescent="0.2">
      <c r="A172" t="s">
        <v>257</v>
      </c>
    </row>
    <row r="173" spans="1:1" ht="12.75" x14ac:dyDescent="0.2">
      <c r="A173" t="s">
        <v>259</v>
      </c>
    </row>
    <row r="174" spans="1:1" ht="12.75" x14ac:dyDescent="0.2">
      <c r="A174" t="s">
        <v>263</v>
      </c>
    </row>
    <row r="175" spans="1:1" ht="12.75" x14ac:dyDescent="0.2">
      <c r="A175" t="s">
        <v>265</v>
      </c>
    </row>
    <row r="176" spans="1:1" ht="12.75" x14ac:dyDescent="0.2">
      <c r="A176" t="s">
        <v>273</v>
      </c>
    </row>
    <row r="177" spans="1:1" ht="12.75" x14ac:dyDescent="0.2">
      <c r="A177" t="s">
        <v>277</v>
      </c>
    </row>
    <row r="178" spans="1:1" ht="12.75" x14ac:dyDescent="0.2">
      <c r="A178" t="s">
        <v>279</v>
      </c>
    </row>
    <row r="179" spans="1:1" ht="12.75" x14ac:dyDescent="0.2">
      <c r="A179" t="s">
        <v>281</v>
      </c>
    </row>
    <row r="180" spans="1:1" ht="12.75" x14ac:dyDescent="0.2">
      <c r="A180" t="s">
        <v>287</v>
      </c>
    </row>
  </sheetData>
  <mergeCells count="1">
    <mergeCell ref="H2:O2"/>
  </mergeCells>
  <phoneticPr fontId="23" type="noConversion"/>
  <conditionalFormatting sqref="O4:O52 H53:Q105">
    <cfRule type="cellIs" dxfId="34" priority="2" operator="equal">
      <formula>0</formula>
    </cfRule>
  </conditionalFormatting>
  <conditionalFormatting sqref="P5:P52">
    <cfRule type="cellIs" dxfId="33" priority="1" operator="equal">
      <formula>0</formula>
    </cfRule>
  </conditionalFormatting>
  <conditionalFormatting sqref="P4:Q4 H4:N52">
    <cfRule type="cellIs" dxfId="32" priority="4" operator="equal">
      <formula>0</formula>
    </cfRule>
  </conditionalFormatting>
  <conditionalFormatting sqref="Q5:Q52">
    <cfRule type="cellIs" dxfId="31" priority="5" operator="equal">
      <formula>0</formula>
    </cfRule>
  </conditionalFormatting>
  <dataValidations count="1">
    <dataValidation type="list" allowBlank="1" showInputMessage="1" showErrorMessage="1" sqref="E1:E78 E79:E1048576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01" t="s">
        <v>38</v>
      </c>
      <c r="B2" s="101" t="s">
        <v>27</v>
      </c>
      <c r="C2" s="100" t="s">
        <v>37</v>
      </c>
      <c r="D2" s="100"/>
      <c r="E2" s="100"/>
    </row>
    <row r="3" spans="1:5" ht="14.25" x14ac:dyDescent="0.2">
      <c r="A3" s="102"/>
      <c r="B3" s="102"/>
      <c r="C3" s="8" t="s">
        <v>323</v>
      </c>
      <c r="D3" s="8" t="s">
        <v>324</v>
      </c>
      <c r="E3" s="8" t="s">
        <v>361</v>
      </c>
    </row>
    <row r="4" spans="1:5" x14ac:dyDescent="0.2">
      <c r="A4" s="60" t="s">
        <v>359</v>
      </c>
      <c r="B4" s="61" t="s">
        <v>362</v>
      </c>
      <c r="C4" s="62" t="s">
        <v>25</v>
      </c>
      <c r="D4" s="62" t="s">
        <v>26</v>
      </c>
      <c r="E4" s="63" t="s">
        <v>360</v>
      </c>
    </row>
    <row r="5" spans="1:5" x14ac:dyDescent="0.2">
      <c r="A5" s="57" t="s">
        <v>29</v>
      </c>
      <c r="B5" s="19" t="s">
        <v>30</v>
      </c>
      <c r="C5" s="29">
        <v>502.42899999999997</v>
      </c>
      <c r="D5" s="29">
        <v>494.96699999999998</v>
      </c>
      <c r="E5" s="58">
        <v>0.28604000000000002</v>
      </c>
    </row>
    <row r="6" spans="1:5" x14ac:dyDescent="0.2">
      <c r="A6" s="57" t="s">
        <v>31</v>
      </c>
      <c r="B6" s="19" t="s">
        <v>32</v>
      </c>
      <c r="C6" s="29">
        <v>502.42899999999997</v>
      </c>
      <c r="D6" s="29">
        <v>494.96699999999998</v>
      </c>
      <c r="E6" s="58">
        <v>0.28604000000000002</v>
      </c>
    </row>
    <row r="7" spans="1:5" x14ac:dyDescent="0.2">
      <c r="A7" s="57" t="s">
        <v>313</v>
      </c>
      <c r="B7" s="28" t="s">
        <v>314</v>
      </c>
      <c r="C7" s="30">
        <v>486.13400000000001</v>
      </c>
      <c r="D7" s="30">
        <v>481.93099999999998</v>
      </c>
      <c r="E7" s="59">
        <v>0.27381</v>
      </c>
    </row>
    <row r="8" spans="1:5" x14ac:dyDescent="0.2">
      <c r="A8" s="57" t="s">
        <v>315</v>
      </c>
      <c r="B8" s="28" t="s">
        <v>316</v>
      </c>
      <c r="C8" s="30">
        <v>483.7</v>
      </c>
      <c r="D8" s="30">
        <v>477.22399999999999</v>
      </c>
      <c r="E8" s="59">
        <v>0.27703</v>
      </c>
    </row>
    <row r="9" spans="1:5" x14ac:dyDescent="0.2">
      <c r="A9" s="57" t="s">
        <v>33</v>
      </c>
      <c r="B9" s="19" t="s">
        <v>34</v>
      </c>
      <c r="C9" s="29">
        <v>502.084</v>
      </c>
      <c r="D9" s="29">
        <v>494.62200000000001</v>
      </c>
      <c r="E9" s="58">
        <v>0.28604000000000002</v>
      </c>
    </row>
    <row r="10" spans="1:5" x14ac:dyDescent="0.2">
      <c r="A10" s="57" t="s">
        <v>35</v>
      </c>
      <c r="B10" s="28" t="s">
        <v>41</v>
      </c>
      <c r="C10" s="29">
        <v>500.98500000000001</v>
      </c>
      <c r="D10" s="29">
        <v>493.52300000000002</v>
      </c>
      <c r="E10" s="58">
        <v>0.28598000000000001</v>
      </c>
    </row>
    <row r="11" spans="1:5" x14ac:dyDescent="0.2">
      <c r="A11" s="57" t="s">
        <v>39</v>
      </c>
      <c r="B11" s="28" t="s">
        <v>43</v>
      </c>
      <c r="C11" s="29">
        <v>502.42899999999997</v>
      </c>
      <c r="D11" s="29">
        <v>494.96699999999998</v>
      </c>
      <c r="E11" s="58">
        <v>0.28604000000000002</v>
      </c>
    </row>
    <row r="12" spans="1:5" x14ac:dyDescent="0.2">
      <c r="A12" s="57" t="s">
        <v>42</v>
      </c>
      <c r="B12" s="28" t="s">
        <v>36</v>
      </c>
      <c r="C12" s="29">
        <v>73.534000000000006</v>
      </c>
      <c r="D12" s="29">
        <v>72.441999999999993</v>
      </c>
      <c r="E12" s="58">
        <v>4.1860000000000001E-2</v>
      </c>
    </row>
    <row r="13" spans="1:5" x14ac:dyDescent="0.2">
      <c r="A13" s="57" t="s">
        <v>317</v>
      </c>
      <c r="B13" s="28" t="s">
        <v>318</v>
      </c>
      <c r="C13" s="29">
        <v>491.02199999999999</v>
      </c>
      <c r="D13" s="29">
        <v>485.84199999999998</v>
      </c>
      <c r="E13" s="58">
        <v>0.27748</v>
      </c>
    </row>
    <row r="14" spans="1:5" x14ac:dyDescent="0.2">
      <c r="A14" s="57" t="s">
        <v>319</v>
      </c>
      <c r="B14" s="28" t="s">
        <v>320</v>
      </c>
      <c r="C14" s="29">
        <v>489.31799999999998</v>
      </c>
      <c r="D14" s="29">
        <v>482.54700000000003</v>
      </c>
      <c r="E14" s="58">
        <v>0.27972999999999998</v>
      </c>
    </row>
    <row r="15" spans="1:5" x14ac:dyDescent="0.2">
      <c r="A15" s="57" t="s">
        <v>44</v>
      </c>
      <c r="B15" s="28" t="s">
        <v>321</v>
      </c>
      <c r="C15" s="29">
        <v>502.18700000000001</v>
      </c>
      <c r="D15" s="29">
        <v>494.72500000000002</v>
      </c>
      <c r="E15" s="58">
        <v>0.28604000000000002</v>
      </c>
    </row>
    <row r="16" spans="1:5" x14ac:dyDescent="0.2">
      <c r="A16" s="64" t="s">
        <v>45</v>
      </c>
      <c r="B16" s="65" t="s">
        <v>322</v>
      </c>
      <c r="C16" s="66">
        <v>501.41800000000001</v>
      </c>
      <c r="D16" s="66">
        <v>493.95600000000002</v>
      </c>
      <c r="E16" s="67">
        <v>0.28599000000000002</v>
      </c>
    </row>
    <row r="18" spans="1:5" x14ac:dyDescent="0.2">
      <c r="C18" s="25"/>
      <c r="D18" s="25"/>
      <c r="E18" s="27"/>
    </row>
    <row r="19" spans="1:5" ht="36" x14ac:dyDescent="0.2">
      <c r="B19" s="56" t="s">
        <v>344</v>
      </c>
      <c r="C19" s="25"/>
      <c r="D19" s="25"/>
      <c r="E19" s="27"/>
    </row>
    <row r="20" spans="1:5" x14ac:dyDescent="0.2">
      <c r="A20" s="55" t="s">
        <v>327</v>
      </c>
      <c r="B20" s="55" t="s">
        <v>343</v>
      </c>
      <c r="C20" s="55" t="s">
        <v>328</v>
      </c>
      <c r="D20" s="25"/>
      <c r="E20" s="27"/>
    </row>
    <row r="21" spans="1:5" x14ac:dyDescent="0.2">
      <c r="A21" s="3" t="s">
        <v>329</v>
      </c>
      <c r="B21" s="3" t="s">
        <v>345</v>
      </c>
      <c r="C21" s="20" t="s">
        <v>29</v>
      </c>
      <c r="D21" s="25"/>
      <c r="E21" s="27"/>
    </row>
    <row r="22" spans="1:5" x14ac:dyDescent="0.2">
      <c r="A22" s="3" t="s">
        <v>330</v>
      </c>
      <c r="B22" s="3" t="s">
        <v>346</v>
      </c>
      <c r="C22" s="20" t="s">
        <v>33</v>
      </c>
      <c r="D22" s="25"/>
      <c r="E22" s="27"/>
    </row>
    <row r="23" spans="1:5" x14ac:dyDescent="0.2">
      <c r="A23" s="3" t="s">
        <v>331</v>
      </c>
      <c r="B23" s="3" t="s">
        <v>347</v>
      </c>
      <c r="C23" s="20" t="s">
        <v>39</v>
      </c>
      <c r="D23" s="25"/>
      <c r="E23" s="27"/>
    </row>
    <row r="24" spans="1:5" x14ac:dyDescent="0.2">
      <c r="A24" s="3" t="s">
        <v>332</v>
      </c>
      <c r="B24" s="3" t="s">
        <v>348</v>
      </c>
      <c r="C24" s="20" t="s">
        <v>313</v>
      </c>
      <c r="D24" s="25"/>
      <c r="E24" s="27"/>
    </row>
    <row r="25" spans="1:5" x14ac:dyDescent="0.2">
      <c r="A25" s="3" t="s">
        <v>333</v>
      </c>
      <c r="B25" s="3" t="s">
        <v>349</v>
      </c>
      <c r="C25" s="20" t="s">
        <v>315</v>
      </c>
      <c r="D25" s="25"/>
      <c r="E25" s="27"/>
    </row>
    <row r="26" spans="1:5" x14ac:dyDescent="0.2">
      <c r="A26" s="3" t="s">
        <v>334</v>
      </c>
      <c r="B26" s="3" t="s">
        <v>350</v>
      </c>
      <c r="C26" s="20" t="s">
        <v>31</v>
      </c>
      <c r="D26" s="25"/>
      <c r="E26" s="27"/>
    </row>
    <row r="27" spans="1:5" x14ac:dyDescent="0.2">
      <c r="A27" s="3" t="s">
        <v>335</v>
      </c>
      <c r="B27" s="3" t="s">
        <v>351</v>
      </c>
      <c r="C27" s="20" t="s">
        <v>35</v>
      </c>
      <c r="D27" s="25"/>
      <c r="E27" s="27"/>
    </row>
    <row r="28" spans="1:5" x14ac:dyDescent="0.2">
      <c r="A28" s="3" t="s">
        <v>336</v>
      </c>
      <c r="B28" s="3" t="s">
        <v>352</v>
      </c>
      <c r="C28" s="20" t="s">
        <v>29</v>
      </c>
      <c r="D28" s="25"/>
      <c r="E28" s="27"/>
    </row>
    <row r="29" spans="1:5" x14ac:dyDescent="0.2">
      <c r="A29" s="3" t="s">
        <v>337</v>
      </c>
      <c r="B29" s="3" t="s">
        <v>353</v>
      </c>
      <c r="C29" s="20" t="s">
        <v>44</v>
      </c>
      <c r="D29" s="25"/>
      <c r="E29" s="27"/>
    </row>
    <row r="30" spans="1:5" x14ac:dyDescent="0.2">
      <c r="A30" s="3" t="s">
        <v>338</v>
      </c>
      <c r="B30" s="3" t="s">
        <v>354</v>
      </c>
      <c r="C30" s="20" t="s">
        <v>39</v>
      </c>
    </row>
    <row r="31" spans="1:5" x14ac:dyDescent="0.2">
      <c r="A31" s="3" t="s">
        <v>339</v>
      </c>
      <c r="B31" s="3" t="s">
        <v>355</v>
      </c>
      <c r="C31" s="20" t="s">
        <v>317</v>
      </c>
    </row>
    <row r="32" spans="1:5" x14ac:dyDescent="0.2">
      <c r="A32" s="3" t="s">
        <v>340</v>
      </c>
      <c r="B32" s="3" t="s">
        <v>356</v>
      </c>
      <c r="C32" s="20" t="s">
        <v>319</v>
      </c>
    </row>
    <row r="33" spans="1:3" x14ac:dyDescent="0.2">
      <c r="A33" s="3" t="s">
        <v>341</v>
      </c>
      <c r="B33" s="3" t="s">
        <v>357</v>
      </c>
      <c r="C33" s="20" t="s">
        <v>31</v>
      </c>
    </row>
    <row r="34" spans="1:3" x14ac:dyDescent="0.2">
      <c r="A34" s="3" t="s">
        <v>342</v>
      </c>
      <c r="B34" s="3" t="s">
        <v>358</v>
      </c>
      <c r="C34" s="20" t="s">
        <v>45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27"/>
  <sheetViews>
    <sheetView tabSelected="1" workbookViewId="0">
      <selection activeCell="A28" sqref="A28"/>
    </sheetView>
  </sheetViews>
  <sheetFormatPr defaultColWidth="8.85546875" defaultRowHeight="12.75" x14ac:dyDescent="0.2"/>
  <cols>
    <col min="1" max="1" width="33.5703125" style="75" customWidth="1"/>
    <col min="2" max="2" width="87.28515625" style="75" customWidth="1"/>
    <col min="3" max="16384" width="8.85546875" style="75"/>
  </cols>
  <sheetData>
    <row r="2" spans="1:2" ht="40.9" customHeight="1" x14ac:dyDescent="0.2">
      <c r="A2" s="103" t="s">
        <v>427</v>
      </c>
      <c r="B2" s="103"/>
    </row>
    <row r="3" spans="1:2" x14ac:dyDescent="0.2">
      <c r="A3" s="87" t="s">
        <v>409</v>
      </c>
      <c r="B3" s="87"/>
    </row>
    <row r="4" spans="1:2" x14ac:dyDescent="0.2">
      <c r="A4" s="77"/>
    </row>
    <row r="5" spans="1:2" ht="15.75" x14ac:dyDescent="0.2">
      <c r="A5" s="78" t="s">
        <v>372</v>
      </c>
    </row>
    <row r="6" spans="1:2" ht="15" hidden="1" x14ac:dyDescent="0.2">
      <c r="A6" s="79" t="s">
        <v>375</v>
      </c>
      <c r="B6" s="74" t="s">
        <v>373</v>
      </c>
    </row>
    <row r="7" spans="1:2" ht="15" hidden="1" x14ac:dyDescent="0.2">
      <c r="A7" s="76" t="s">
        <v>374</v>
      </c>
      <c r="B7" s="74" t="s">
        <v>425</v>
      </c>
    </row>
    <row r="8" spans="1:2" ht="15" hidden="1" x14ac:dyDescent="0.2">
      <c r="A8" s="76" t="s">
        <v>364</v>
      </c>
      <c r="B8" s="74" t="s">
        <v>381</v>
      </c>
    </row>
    <row r="9" spans="1:2" ht="15" hidden="1" x14ac:dyDescent="0.2">
      <c r="A9" s="76" t="s">
        <v>365</v>
      </c>
      <c r="B9" s="74" t="s">
        <v>395</v>
      </c>
    </row>
    <row r="10" spans="1:2" ht="15" hidden="1" x14ac:dyDescent="0.2">
      <c r="A10" s="76" t="s">
        <v>366</v>
      </c>
      <c r="B10" s="74" t="s">
        <v>405</v>
      </c>
    </row>
    <row r="11" spans="1:2" ht="15" hidden="1" x14ac:dyDescent="0.2">
      <c r="A11" s="76" t="s">
        <v>367</v>
      </c>
      <c r="B11" s="74" t="s">
        <v>406</v>
      </c>
    </row>
    <row r="12" spans="1:2" ht="15" hidden="1" x14ac:dyDescent="0.2">
      <c r="A12" s="76" t="s">
        <v>368</v>
      </c>
      <c r="B12" s="74" t="s">
        <v>407</v>
      </c>
    </row>
    <row r="13" spans="1:2" ht="15" hidden="1" x14ac:dyDescent="0.2">
      <c r="A13" s="79" t="s">
        <v>392</v>
      </c>
      <c r="B13" s="74"/>
    </row>
    <row r="14" spans="1:2" ht="15" hidden="1" x14ac:dyDescent="0.2">
      <c r="A14" s="76" t="s">
        <v>377</v>
      </c>
      <c r="B14" s="74" t="s">
        <v>394</v>
      </c>
    </row>
    <row r="15" spans="1:2" ht="15" hidden="1" x14ac:dyDescent="0.2">
      <c r="A15" s="76" t="s">
        <v>385</v>
      </c>
      <c r="B15" s="74" t="s">
        <v>396</v>
      </c>
    </row>
    <row r="16" spans="1:2" ht="15" hidden="1" x14ac:dyDescent="0.2">
      <c r="A16" s="79" t="s">
        <v>390</v>
      </c>
      <c r="B16" s="74"/>
    </row>
    <row r="17" spans="1:2" ht="15" hidden="1" x14ac:dyDescent="0.2">
      <c r="A17" s="76" t="s">
        <v>377</v>
      </c>
      <c r="B17" s="74" t="s">
        <v>393</v>
      </c>
    </row>
    <row r="18" spans="1:2" ht="15" hidden="1" x14ac:dyDescent="0.2">
      <c r="A18" s="76" t="s">
        <v>369</v>
      </c>
      <c r="B18" s="74" t="s">
        <v>371</v>
      </c>
    </row>
    <row r="19" spans="1:2" ht="15" x14ac:dyDescent="0.2">
      <c r="A19" s="79" t="s">
        <v>391</v>
      </c>
      <c r="B19" s="74"/>
    </row>
    <row r="20" spans="1:2" ht="15" x14ac:dyDescent="0.2">
      <c r="A20" s="76" t="s">
        <v>377</v>
      </c>
      <c r="B20" s="94" t="s">
        <v>428</v>
      </c>
    </row>
    <row r="21" spans="1:2" ht="15" x14ac:dyDescent="0.2">
      <c r="A21" s="76" t="s">
        <v>370</v>
      </c>
      <c r="B21" s="74" t="s">
        <v>376</v>
      </c>
    </row>
    <row r="25" spans="1:2" ht="15.75" x14ac:dyDescent="0.2">
      <c r="A25" s="104" t="s">
        <v>399</v>
      </c>
      <c r="B25" s="104"/>
    </row>
    <row r="26" spans="1:2" ht="15.75" customHeight="1" x14ac:dyDescent="0.2">
      <c r="A26" s="105" t="s">
        <v>408</v>
      </c>
      <c r="B26" s="106"/>
    </row>
    <row r="27" spans="1:2" ht="15.75" x14ac:dyDescent="0.2">
      <c r="A27" s="85" t="s">
        <v>430</v>
      </c>
      <c r="B27" s="40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/>
    <hyperlink ref="A10" location="tab.2_EE_gminy!A1" tooltip="Tabela EE dla gmin" display="tab.2_EE_gminy"/>
    <hyperlink ref="A11" location="tab.3_KPP!A1" tooltip="Tabela kontrole" display="tab.3_KPP"/>
    <hyperlink ref="A12" location="tab.5_PDK!A1" tooltip="PDK" display="tab.5_PDK"/>
    <hyperlink ref="A8" location="tab.1_ZSO_gminy!A1" tooltip="Tabela ZSO dla gmin" display="tab.1_ZSO_gminy"/>
    <hyperlink ref="A21" location="tab.4_BDO!A1" tooltip="Tabela drogi (BDO)" display="tab.4_BDO"/>
    <hyperlink ref="A7" location="tabela_informacyjna_dla_JST!A1" tooltip="Informacje ogólne JST" display="tabela_informacyjna_dla_JST"/>
    <hyperlink ref="A20" location="tabela_informacyjna_dla_innych!A1" tooltip="Informacje ogólne dla innych podmiotów" display="tabela_informacyjna_dla_innych"/>
    <hyperlink ref="A17" location="tabela_informacyjna_dla_innych!A1" tooltip="Informacje ogólne dla innych podmiotów" display="tabela_informacyjna_dla_innych"/>
    <hyperlink ref="A18" location="tab.2_EE_org!A1" tooltip="Tabela edukacja - organizacje" display="tab.2_EE_org"/>
    <hyperlink ref="A14" location="tabela_informacyjna_dla_innych!A1" tooltip="Informacje ogólne dla innych podmiotów" display="tabela_informacyjna_dla_innych"/>
    <hyperlink ref="A15" location="tab.1_ZSO_zarządcy!A1" display="tab.1_ZSO_zarządc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8"/>
  <sheetViews>
    <sheetView zoomScaleNormal="100" workbookViewId="0">
      <selection activeCell="G5" sqref="G5"/>
    </sheetView>
  </sheetViews>
  <sheetFormatPr defaultColWidth="9.140625" defaultRowHeight="12" x14ac:dyDescent="0.2"/>
  <cols>
    <col min="1" max="1" width="4" style="1" customWidth="1"/>
    <col min="2" max="2" width="38.85546875" style="1" customWidth="1"/>
    <col min="3" max="3" width="38.85546875" style="1" hidden="1" customWidth="1"/>
    <col min="4" max="4" width="6" style="1" hidden="1" customWidth="1"/>
    <col min="5" max="5" width="41.140625" style="1" hidden="1" customWidth="1"/>
    <col min="6" max="6" width="5.7109375" style="1" hidden="1" customWidth="1"/>
    <col min="7" max="7" width="39" style="1" bestFit="1" customWidth="1"/>
    <col min="8" max="8" width="6" style="1" hidden="1" customWidth="1"/>
    <col min="9" max="9" width="3.42578125" style="1" customWidth="1"/>
    <col min="10" max="10" width="45" style="1" customWidth="1"/>
    <col min="11" max="11" width="51" style="1" bestFit="1" customWidth="1"/>
    <col min="12" max="16384" width="9.140625" style="1"/>
  </cols>
  <sheetData>
    <row r="1" spans="1:11" ht="15.75" customHeight="1" x14ac:dyDescent="0.2">
      <c r="A1" s="105"/>
      <c r="B1" s="105"/>
      <c r="C1" s="105"/>
      <c r="D1" s="105"/>
      <c r="E1" s="105"/>
      <c r="F1" s="42"/>
      <c r="G1" s="40"/>
    </row>
    <row r="2" spans="1:11" ht="33" customHeight="1" x14ac:dyDescent="0.2">
      <c r="B2" s="43" t="s">
        <v>303</v>
      </c>
      <c r="C2" s="90" t="s">
        <v>413</v>
      </c>
      <c r="D2" s="88"/>
      <c r="E2" s="91" t="s">
        <v>384</v>
      </c>
      <c r="F2" s="89"/>
      <c r="G2" s="92" t="s">
        <v>380</v>
      </c>
    </row>
    <row r="3" spans="1:11" ht="12" customHeight="1" x14ac:dyDescent="0.2">
      <c r="A3" s="107" t="s">
        <v>12</v>
      </c>
      <c r="B3" s="107"/>
      <c r="C3" s="107"/>
      <c r="D3" s="107"/>
      <c r="E3" s="107"/>
      <c r="F3" s="107"/>
      <c r="G3" s="107"/>
    </row>
    <row r="4" spans="1:11" ht="24" x14ac:dyDescent="0.2">
      <c r="A4" s="39" t="s">
        <v>7</v>
      </c>
      <c r="B4" s="39" t="s">
        <v>10</v>
      </c>
      <c r="C4" s="39"/>
      <c r="D4" s="45" t="s">
        <v>304</v>
      </c>
      <c r="E4" s="39" t="s">
        <v>383</v>
      </c>
      <c r="F4" s="45" t="s">
        <v>304</v>
      </c>
      <c r="G4" s="39" t="s">
        <v>379</v>
      </c>
      <c r="H4" s="45" t="s">
        <v>304</v>
      </c>
    </row>
    <row r="5" spans="1:11" ht="15" x14ac:dyDescent="0.2">
      <c r="A5" s="10">
        <v>1</v>
      </c>
      <c r="B5" s="11" t="s">
        <v>401</v>
      </c>
      <c r="C5" s="23"/>
      <c r="D5" s="46"/>
      <c r="E5" s="23"/>
      <c r="F5" s="46"/>
      <c r="G5" s="23"/>
      <c r="H5" s="46"/>
      <c r="J5" s="95" t="s">
        <v>412</v>
      </c>
      <c r="K5" s="96" t="s">
        <v>386</v>
      </c>
    </row>
    <row r="6" spans="1:11" ht="15" x14ac:dyDescent="0.2">
      <c r="A6" s="10">
        <v>2</v>
      </c>
      <c r="B6" s="11" t="s">
        <v>8</v>
      </c>
      <c r="C6" s="9" t="s">
        <v>48</v>
      </c>
      <c r="D6" s="44"/>
      <c r="E6" s="9" t="s">
        <v>48</v>
      </c>
      <c r="F6" s="44"/>
      <c r="G6" s="9" t="s">
        <v>48</v>
      </c>
      <c r="H6" s="44"/>
      <c r="J6" s="95" t="s">
        <v>369</v>
      </c>
      <c r="K6" s="96" t="s">
        <v>371</v>
      </c>
    </row>
    <row r="7" spans="1:11" ht="15" x14ac:dyDescent="0.2">
      <c r="A7" s="10">
        <v>3</v>
      </c>
      <c r="B7" s="11" t="s">
        <v>17</v>
      </c>
      <c r="C7" s="9" t="str">
        <f>IFERROR(CONCATENATE(VLOOKUP($D$8,powiaty_26[],katalogi!$E$1,FALSE)," (",VLOOKUP($D$8,powiaty_26[],katalogi!$D$1,FALSE),")"),"")</f>
        <v/>
      </c>
      <c r="D7" s="44" t="e">
        <f>VLOOKUP($D$8,powiaty_26[],katalogi!$D$1,FALSE)</f>
        <v>#N/A</v>
      </c>
      <c r="E7" s="9" t="str">
        <f>IFERROR(CONCATENATE(VLOOKUP($F$9,gminy_26[],katalog_gmin_PL26!$G$1,FALSE)," (",VLOOKUP($F$9,gminy_26[],katalog_gmin_PL26!$F$1,FALSE),")"),"brak nazwy gminy")</f>
        <v>brak nazwy gminy</v>
      </c>
      <c r="F7" s="44" t="e">
        <f>VLOOKUP($F$9,gminy_26[],katalog_gmin_PL26!$F$1,FALSE)</f>
        <v>#N/A</v>
      </c>
      <c r="G7" s="9" t="str">
        <f>IFERROR(CONCATENATE(VLOOKUP($H$8,powiaty_26[],katalogi!$E$1,FALSE)," (",VLOOKUP($H$8,powiaty_26[],katalogi!$D$1,FALSE),")"),"")</f>
        <v/>
      </c>
      <c r="H7" s="44" t="e">
        <f>VLOOKUP($H$8,powiaty_26[],katalogi!$D$1,FALSE)</f>
        <v>#N/A</v>
      </c>
      <c r="J7" s="93" t="s">
        <v>370</v>
      </c>
      <c r="K7" s="74" t="s">
        <v>376</v>
      </c>
    </row>
    <row r="8" spans="1:11" x14ac:dyDescent="0.2">
      <c r="A8" s="10">
        <v>4</v>
      </c>
      <c r="B8" s="11" t="s">
        <v>398</v>
      </c>
      <c r="C8" s="48"/>
      <c r="D8" s="44" t="e">
        <f>VLOOKUP(C8,powiaty_26[[powiat]:[kod powiatu2]],2,FALSE)</f>
        <v>#N/A</v>
      </c>
      <c r="E8" s="9" t="str">
        <f>IFERROR(VLOOKUP($F$9,gminy_26[],katalog_gmin_PL26!$E$1,FALSE),"brak nazwy gminy")</f>
        <v>brak nazwy gminy</v>
      </c>
      <c r="F8" s="44"/>
      <c r="G8" s="48"/>
      <c r="H8" s="44" t="e">
        <f>VLOOKUP(G8,powiaty_26[[powiat]:[kod powiatu2]],2,FALSE)</f>
        <v>#N/A</v>
      </c>
    </row>
    <row r="9" spans="1:11" ht="24" x14ac:dyDescent="0.2">
      <c r="A9" s="10">
        <v>5</v>
      </c>
      <c r="B9" s="26" t="s">
        <v>429</v>
      </c>
      <c r="C9" s="69" t="s">
        <v>363</v>
      </c>
      <c r="D9" s="44"/>
      <c r="E9" s="22"/>
      <c r="F9" s="44" t="e">
        <f>VLOOKUP($E$9,gminy_26[[nazwa gminy]:[kod gminy2]],2,FALSE)</f>
        <v>#N/A</v>
      </c>
      <c r="G9" s="69" t="s">
        <v>363</v>
      </c>
      <c r="H9" s="44"/>
    </row>
    <row r="10" spans="1:11" ht="24.6" customHeight="1" x14ac:dyDescent="0.2">
      <c r="A10" s="53" t="s">
        <v>47</v>
      </c>
      <c r="B10" s="54" t="s">
        <v>426</v>
      </c>
      <c r="C10" s="41"/>
      <c r="D10" s="44"/>
      <c r="E10" s="41"/>
      <c r="F10" s="44"/>
      <c r="G10" s="41"/>
      <c r="H10" s="44"/>
    </row>
    <row r="11" spans="1:11" ht="24" x14ac:dyDescent="0.2">
      <c r="A11" s="10">
        <v>6</v>
      </c>
      <c r="B11" s="11" t="s">
        <v>13</v>
      </c>
      <c r="C11" s="9" t="s">
        <v>49</v>
      </c>
      <c r="D11" s="44"/>
      <c r="E11" s="9" t="s">
        <v>49</v>
      </c>
      <c r="F11" s="44"/>
      <c r="G11" s="9" t="s">
        <v>49</v>
      </c>
      <c r="H11" s="44"/>
    </row>
    <row r="12" spans="1:11" x14ac:dyDescent="0.2">
      <c r="A12" s="10">
        <v>7</v>
      </c>
      <c r="B12" s="11" t="s">
        <v>14</v>
      </c>
      <c r="C12" s="9" t="s">
        <v>400</v>
      </c>
      <c r="D12" s="44"/>
      <c r="E12" s="9" t="s">
        <v>400</v>
      </c>
      <c r="F12" s="44"/>
      <c r="G12" s="9" t="s">
        <v>400</v>
      </c>
      <c r="H12" s="44"/>
    </row>
    <row r="13" spans="1:11" x14ac:dyDescent="0.2">
      <c r="A13" s="10">
        <v>8</v>
      </c>
      <c r="B13" s="11" t="s">
        <v>402</v>
      </c>
      <c r="C13" s="21"/>
      <c r="D13" s="47"/>
      <c r="E13" s="21"/>
      <c r="F13" s="47"/>
      <c r="G13" s="21"/>
      <c r="H13" s="47"/>
    </row>
    <row r="14" spans="1:11" ht="24" x14ac:dyDescent="0.2">
      <c r="A14" s="10">
        <v>9</v>
      </c>
      <c r="B14" s="11" t="s">
        <v>403</v>
      </c>
      <c r="C14" s="21"/>
      <c r="D14" s="47"/>
      <c r="E14" s="21"/>
      <c r="F14" s="47"/>
      <c r="G14" s="21"/>
      <c r="H14" s="47"/>
    </row>
    <row r="15" spans="1:11" x14ac:dyDescent="0.2">
      <c r="A15" s="10">
        <v>10</v>
      </c>
      <c r="B15" s="11" t="s">
        <v>15</v>
      </c>
      <c r="C15" s="21"/>
      <c r="D15" s="47"/>
      <c r="E15" s="21"/>
      <c r="F15" s="47"/>
      <c r="G15" s="21"/>
      <c r="H15" s="47"/>
    </row>
    <row r="16" spans="1:11" x14ac:dyDescent="0.2">
      <c r="A16" s="10">
        <v>11</v>
      </c>
      <c r="B16" s="11" t="s">
        <v>404</v>
      </c>
      <c r="C16" s="21"/>
      <c r="D16" s="47"/>
      <c r="E16" s="21"/>
      <c r="F16" s="47"/>
      <c r="G16" s="21"/>
      <c r="H16" s="47"/>
    </row>
    <row r="17" spans="1:8" x14ac:dyDescent="0.2">
      <c r="A17" s="10">
        <v>12</v>
      </c>
      <c r="B17" s="11" t="s">
        <v>9</v>
      </c>
      <c r="C17" s="21"/>
      <c r="D17" s="47"/>
      <c r="E17" s="21"/>
      <c r="F17" s="47"/>
      <c r="G17" s="21"/>
      <c r="H17" s="47"/>
    </row>
    <row r="18" spans="1:8" x14ac:dyDescent="0.2">
      <c r="B18" s="86" t="s">
        <v>302</v>
      </c>
    </row>
  </sheetData>
  <mergeCells count="2">
    <mergeCell ref="A3:G3"/>
    <mergeCell ref="A1:E1"/>
  </mergeCells>
  <dataValidations count="3">
    <dataValidation type="list" allowBlank="1" showInputMessage="1" showErrorMessage="1" sqref="E9">
      <formula1>nazwy_gmin</formula1>
    </dataValidation>
    <dataValidation type="list" allowBlank="1" showInputMessage="1" showErrorMessage="1" sqref="C5:G5">
      <formula1>"2020,2021,2022,2023,2024,2025,2026"</formula1>
    </dataValidation>
    <dataValidation type="list" allowBlank="1" showInputMessage="1" showErrorMessage="1" sqref="G8 C8">
      <formula1>Powiaty</formula1>
    </dataValidation>
  </dataValidations>
  <hyperlinks>
    <hyperlink ref="J6" location="tab.2_EE_org!A1" tooltip="Tabela edukacja - organizacje" display="tab.2_EE_org"/>
    <hyperlink ref="J7" location="tab.4_BDO!A1" tooltip="Tabela drogi (BDO)" display="tab.4_BDO"/>
    <hyperlink ref="J5" location="tab.1_ZSO_zarządcy!A1" display="tab.1_ZSO_zarządcy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2"/>
  <sheetViews>
    <sheetView zoomScale="90" zoomScaleNormal="90" workbookViewId="0">
      <pane xSplit="4" ySplit="8" topLeftCell="E9" activePane="bottomRight" state="frozen"/>
      <selection pane="topRight" activeCell="D1" sqref="D1"/>
      <selection pane="bottomLeft" activeCell="A8" sqref="A8"/>
      <selection pane="bottomRight" activeCell="C9" sqref="C9"/>
    </sheetView>
  </sheetViews>
  <sheetFormatPr defaultColWidth="9.140625" defaultRowHeight="12" x14ac:dyDescent="0.2"/>
  <cols>
    <col min="1" max="1" width="4.42578125" style="1" customWidth="1"/>
    <col min="2" max="2" width="25.140625" style="1" customWidth="1"/>
    <col min="3" max="3" width="22" style="1" customWidth="1"/>
    <col min="4" max="4" width="22.85546875" style="1" customWidth="1"/>
    <col min="5" max="5" width="37.7109375" style="1" customWidth="1"/>
    <col min="6" max="6" width="56.140625" style="1" customWidth="1"/>
    <col min="7" max="7" width="9.28515625" style="1" customWidth="1"/>
    <col min="8" max="8" width="15.140625" style="1" customWidth="1"/>
    <col min="9" max="9" width="15.5703125" style="1" bestFit="1" customWidth="1"/>
    <col min="10" max="10" width="23" style="1" customWidth="1"/>
    <col min="11" max="11" width="41.28515625" style="1" customWidth="1"/>
    <col min="12" max="28" width="9.140625" style="1"/>
    <col min="29" max="29" width="7" style="1" hidden="1" customWidth="1"/>
    <col min="30" max="16384" width="9.140625" style="1"/>
  </cols>
  <sheetData>
    <row r="1" spans="1:29" ht="15" x14ac:dyDescent="0.2">
      <c r="A1" s="79" t="s">
        <v>378</v>
      </c>
    </row>
    <row r="2" spans="1:29" ht="15.75" x14ac:dyDescent="0.2">
      <c r="B2" s="84" t="s">
        <v>397</v>
      </c>
      <c r="H2" s="108" t="s">
        <v>414</v>
      </c>
      <c r="I2" s="108"/>
      <c r="J2" s="108"/>
    </row>
    <row r="3" spans="1:29" ht="15" x14ac:dyDescent="0.2">
      <c r="H3" s="112" t="s">
        <v>312</v>
      </c>
      <c r="I3" s="112"/>
      <c r="J3" s="112"/>
    </row>
    <row r="4" spans="1:29" ht="21" customHeight="1" x14ac:dyDescent="0.2">
      <c r="A4" s="12" t="s">
        <v>387</v>
      </c>
      <c r="B4" s="12"/>
      <c r="E4" s="13"/>
      <c r="F4" s="13"/>
      <c r="G4" s="13"/>
      <c r="H4" s="51">
        <f t="shared" ref="H4" si="0">SUM(H9:H22)</f>
        <v>0</v>
      </c>
      <c r="I4" s="52">
        <f>SUM(I9:I22)</f>
        <v>0</v>
      </c>
      <c r="J4" s="52">
        <f>SUM(J9:J22)</f>
        <v>0</v>
      </c>
      <c r="K4" s="13"/>
    </row>
    <row r="5" spans="1:29" x14ac:dyDescent="0.2">
      <c r="A5" s="109" t="s">
        <v>7</v>
      </c>
      <c r="B5" s="109" t="s">
        <v>325</v>
      </c>
      <c r="C5" s="109" t="s">
        <v>417</v>
      </c>
      <c r="D5" s="109" t="s">
        <v>20</v>
      </c>
      <c r="E5" s="109" t="s">
        <v>21</v>
      </c>
      <c r="F5" s="109" t="s">
        <v>421</v>
      </c>
      <c r="G5" s="109" t="s">
        <v>416</v>
      </c>
      <c r="H5" s="109" t="s">
        <v>418</v>
      </c>
      <c r="I5" s="109" t="s">
        <v>419</v>
      </c>
      <c r="J5" s="113" t="s">
        <v>420</v>
      </c>
      <c r="K5" s="109" t="s">
        <v>415</v>
      </c>
    </row>
    <row r="6" spans="1:29" ht="51" customHeight="1" x14ac:dyDescent="0.2">
      <c r="A6" s="111"/>
      <c r="B6" s="111"/>
      <c r="C6" s="111"/>
      <c r="D6" s="111"/>
      <c r="E6" s="111"/>
      <c r="F6" s="111"/>
      <c r="G6" s="111"/>
      <c r="H6" s="110"/>
      <c r="I6" s="111"/>
      <c r="J6" s="114"/>
      <c r="K6" s="111"/>
    </row>
    <row r="7" spans="1:29" x14ac:dyDescent="0.2">
      <c r="A7" s="18">
        <v>1</v>
      </c>
      <c r="B7" s="18">
        <f>A7+1</f>
        <v>2</v>
      </c>
      <c r="C7" s="18">
        <f t="shared" ref="C7:D7" si="1">B7+1</f>
        <v>3</v>
      </c>
      <c r="D7" s="18">
        <f t="shared" si="1"/>
        <v>4</v>
      </c>
      <c r="E7" s="18">
        <f t="shared" ref="E7:K7" si="2">D7+1</f>
        <v>5</v>
      </c>
      <c r="F7" s="18">
        <f t="shared" si="2"/>
        <v>6</v>
      </c>
      <c r="G7" s="18">
        <f t="shared" ref="G7" si="3">F7+1</f>
        <v>7</v>
      </c>
      <c r="H7" s="18">
        <f t="shared" ref="H7" si="4">G7+1</f>
        <v>8</v>
      </c>
      <c r="I7" s="18">
        <f t="shared" si="2"/>
        <v>9</v>
      </c>
      <c r="J7" s="18">
        <f t="shared" si="2"/>
        <v>10</v>
      </c>
      <c r="K7" s="18">
        <f t="shared" si="2"/>
        <v>11</v>
      </c>
    </row>
    <row r="8" spans="1:29" ht="69" customHeight="1" x14ac:dyDescent="0.2">
      <c r="A8" s="15"/>
      <c r="B8" s="17" t="s">
        <v>46</v>
      </c>
      <c r="C8" s="15" t="s">
        <v>382</v>
      </c>
      <c r="D8" s="17" t="s">
        <v>28</v>
      </c>
      <c r="E8" s="17" t="s">
        <v>28</v>
      </c>
      <c r="F8" s="14" t="s">
        <v>388</v>
      </c>
      <c r="G8" s="14" t="s">
        <v>326</v>
      </c>
      <c r="H8" s="14" t="s">
        <v>411</v>
      </c>
      <c r="I8" s="16" t="s">
        <v>19</v>
      </c>
      <c r="J8" s="16" t="s">
        <v>24</v>
      </c>
      <c r="K8" s="16" t="s">
        <v>410</v>
      </c>
      <c r="AC8" s="31" t="s">
        <v>40</v>
      </c>
    </row>
    <row r="9" spans="1:29" ht="23.1" customHeight="1" x14ac:dyDescent="0.2">
      <c r="A9" s="3">
        <v>1</v>
      </c>
      <c r="B9" s="3">
        <f>tabela_informacyjna_dla_innych!$G$10</f>
        <v>0</v>
      </c>
      <c r="C9" s="48"/>
      <c r="D9" s="50" t="str">
        <f>IFERROR(CONCATENATE(VLOOKUP((VLOOKUP($C9,powiaty_26[[powiat]:[kod powiatu2]],2,FALSE)),powiaty_26[],katalogi!$D$1,FALSE),"_BDO"),"brak nazwy powiatu")</f>
        <v>brak nazwy powiatu</v>
      </c>
      <c r="E9" s="24" t="str">
        <f>IFERROR(VLOOKUP($D9,kat_zadania[],katalogi!$N$1-katalogi!$L$1,FALSE),"brak nazwy powiatu")</f>
        <v>brak nazwy powiatu</v>
      </c>
      <c r="F9" s="82"/>
      <c r="G9" s="82"/>
      <c r="H9" s="83"/>
      <c r="I9" s="80"/>
      <c r="J9" s="80"/>
      <c r="K9" s="81"/>
      <c r="AC9" s="1" t="b">
        <f>OR(NOT(ISBLANK(F9)),NOT(ISBLANK(#REF!)))</f>
        <v>1</v>
      </c>
    </row>
    <row r="10" spans="1:29" ht="23.1" customHeight="1" x14ac:dyDescent="0.2">
      <c r="A10" s="3">
        <v>2</v>
      </c>
      <c r="B10" s="3">
        <f>tabela_informacyjna_dla_innych!$G$10</f>
        <v>0</v>
      </c>
      <c r="C10" s="48"/>
      <c r="D10" s="50" t="str">
        <f>IFERROR(CONCATENATE(VLOOKUP((VLOOKUP($C10,powiaty_26[[powiat]:[kod powiatu2]],2,FALSE)),powiaty_26[],katalogi!$D$1,FALSE),"_BDO"),"brak nazwy powiatu")</f>
        <v>brak nazwy powiatu</v>
      </c>
      <c r="E10" s="24" t="str">
        <f>IFERROR(VLOOKUP($D10,kat_zadania[],katalogi!$N$1-katalogi!$L$1,FALSE),"brak nazwy powiatu")</f>
        <v>brak nazwy powiatu</v>
      </c>
      <c r="F10" s="82"/>
      <c r="G10" s="82"/>
      <c r="H10" s="83"/>
      <c r="I10" s="80"/>
      <c r="J10" s="80"/>
      <c r="K10" s="81"/>
      <c r="AC10" s="1" t="b">
        <f>OR(NOT(ISBLANK(F10)),NOT(ISBLANK(#REF!)))</f>
        <v>1</v>
      </c>
    </row>
    <row r="11" spans="1:29" ht="23.1" customHeight="1" x14ac:dyDescent="0.2">
      <c r="A11" s="3">
        <v>3</v>
      </c>
      <c r="B11" s="3">
        <f>tabela_informacyjna_dla_innych!$G$10</f>
        <v>0</v>
      </c>
      <c r="C11" s="48"/>
      <c r="D11" s="50" t="str">
        <f>IFERROR(CONCATENATE(VLOOKUP((VLOOKUP($C11,powiaty_26[[powiat]:[kod powiatu2]],2,FALSE)),powiaty_26[],katalogi!$D$1,FALSE),"_BDO"),"brak nazwy powiatu")</f>
        <v>brak nazwy powiatu</v>
      </c>
      <c r="E11" s="24" t="str">
        <f>IFERROR(VLOOKUP($D11,kat_zadania[],katalogi!$N$1-katalogi!$L$1,FALSE),"brak nazwy powiatu")</f>
        <v>brak nazwy powiatu</v>
      </c>
      <c r="F11" s="82"/>
      <c r="G11" s="82"/>
      <c r="H11" s="83"/>
      <c r="I11" s="80"/>
      <c r="J11" s="80"/>
      <c r="K11" s="81"/>
      <c r="AC11" s="1" t="b">
        <f>OR(NOT(ISBLANK(F11)),NOT(ISBLANK(#REF!)))</f>
        <v>1</v>
      </c>
    </row>
    <row r="12" spans="1:29" ht="23.1" customHeight="1" x14ac:dyDescent="0.2">
      <c r="A12" s="3">
        <v>4</v>
      </c>
      <c r="B12" s="3">
        <f>tabela_informacyjna_dla_innych!$G$10</f>
        <v>0</v>
      </c>
      <c r="C12" s="48"/>
      <c r="D12" s="50" t="str">
        <f>IFERROR(CONCATENATE(VLOOKUP((VLOOKUP($C12,powiaty_26[[powiat]:[kod powiatu2]],2,FALSE)),powiaty_26[],katalogi!$D$1,FALSE),"_BDO"),"brak nazwy powiatu")</f>
        <v>brak nazwy powiatu</v>
      </c>
      <c r="E12" s="24" t="str">
        <f>IFERROR(VLOOKUP($D12,kat_zadania[],katalogi!$N$1-katalogi!$L$1,FALSE),"brak nazwy powiatu")</f>
        <v>brak nazwy powiatu</v>
      </c>
      <c r="F12" s="82"/>
      <c r="G12" s="82"/>
      <c r="H12" s="83"/>
      <c r="I12" s="80"/>
      <c r="J12" s="80"/>
      <c r="K12" s="81"/>
      <c r="AC12" s="1" t="b">
        <f>OR(NOT(ISBLANK(F12)),NOT(ISBLANK(#REF!)))</f>
        <v>1</v>
      </c>
    </row>
    <row r="13" spans="1:29" ht="23.1" customHeight="1" x14ac:dyDescent="0.2">
      <c r="A13" s="3">
        <v>5</v>
      </c>
      <c r="B13" s="3">
        <f>tabela_informacyjna_dla_innych!$G$10</f>
        <v>0</v>
      </c>
      <c r="C13" s="48"/>
      <c r="D13" s="50" t="str">
        <f>IFERROR(CONCATENATE(VLOOKUP((VLOOKUP($C13,powiaty_26[[powiat]:[kod powiatu2]],2,FALSE)),powiaty_26[],katalogi!$D$1,FALSE),"_BDO"),"brak nazwy powiatu")</f>
        <v>brak nazwy powiatu</v>
      </c>
      <c r="E13" s="24" t="str">
        <f>IFERROR(VLOOKUP($D13,kat_zadania[],katalogi!$N$1-katalogi!$L$1,FALSE),"brak nazwy powiatu")</f>
        <v>brak nazwy powiatu</v>
      </c>
      <c r="F13" s="82"/>
      <c r="G13" s="82"/>
      <c r="H13" s="83"/>
      <c r="I13" s="80"/>
      <c r="J13" s="80"/>
      <c r="K13" s="81"/>
      <c r="AC13" s="1" t="b">
        <f>OR(NOT(ISBLANK(F13)),NOT(ISBLANK(#REF!)))</f>
        <v>1</v>
      </c>
    </row>
    <row r="14" spans="1:29" ht="23.1" customHeight="1" x14ac:dyDescent="0.2">
      <c r="A14" s="3">
        <v>6</v>
      </c>
      <c r="B14" s="3">
        <f>tabela_informacyjna_dla_innych!$G$10</f>
        <v>0</v>
      </c>
      <c r="C14" s="48"/>
      <c r="D14" s="50" t="str">
        <f>IFERROR(CONCATENATE(VLOOKUP((VLOOKUP($C14,powiaty_26[[powiat]:[kod powiatu2]],2,FALSE)),powiaty_26[],katalogi!$D$1,FALSE),"_BDO"),"brak nazwy powiatu")</f>
        <v>brak nazwy powiatu</v>
      </c>
      <c r="E14" s="24" t="str">
        <f>IFERROR(VLOOKUP($D14,kat_zadania[],katalogi!$N$1-katalogi!$L$1,FALSE),"brak nazwy powiatu")</f>
        <v>brak nazwy powiatu</v>
      </c>
      <c r="F14" s="82"/>
      <c r="G14" s="82"/>
      <c r="H14" s="83"/>
      <c r="I14" s="80"/>
      <c r="J14" s="80"/>
      <c r="K14" s="81"/>
      <c r="AC14" s="1" t="b">
        <f>OR(NOT(ISBLANK(F14)),NOT(ISBLANK(#REF!)))</f>
        <v>1</v>
      </c>
    </row>
    <row r="15" spans="1:29" ht="23.1" customHeight="1" x14ac:dyDescent="0.2">
      <c r="A15" s="3">
        <v>7</v>
      </c>
      <c r="B15" s="3">
        <f>tabela_informacyjna_dla_innych!$G$10</f>
        <v>0</v>
      </c>
      <c r="C15" s="48"/>
      <c r="D15" s="50" t="str">
        <f>IFERROR(CONCATENATE(VLOOKUP((VLOOKUP($C15,powiaty_26[[powiat]:[kod powiatu2]],2,FALSE)),powiaty_26[],katalogi!$D$1,FALSE),"_BDO"),"brak nazwy powiatu")</f>
        <v>brak nazwy powiatu</v>
      </c>
      <c r="E15" s="24" t="str">
        <f>IFERROR(VLOOKUP($D15,kat_zadania[],katalogi!$N$1-katalogi!$L$1,FALSE),"brak nazwy powiatu")</f>
        <v>brak nazwy powiatu</v>
      </c>
      <c r="F15" s="82"/>
      <c r="G15" s="82"/>
      <c r="H15" s="83"/>
      <c r="I15" s="80"/>
      <c r="J15" s="80"/>
      <c r="K15" s="81"/>
      <c r="AC15" s="1" t="b">
        <f>OR(NOT(ISBLANK(F15)),NOT(ISBLANK(#REF!)))</f>
        <v>1</v>
      </c>
    </row>
    <row r="16" spans="1:29" ht="23.1" customHeight="1" x14ac:dyDescent="0.2">
      <c r="A16" s="3">
        <v>8</v>
      </c>
      <c r="B16" s="3">
        <f>tabela_informacyjna_dla_innych!$G$10</f>
        <v>0</v>
      </c>
      <c r="C16" s="48"/>
      <c r="D16" s="50" t="str">
        <f>IFERROR(CONCATENATE(VLOOKUP((VLOOKUP($C16,powiaty_26[[powiat]:[kod powiatu2]],2,FALSE)),powiaty_26[],katalogi!$D$1,FALSE),"_BDO"),"brak nazwy powiatu")</f>
        <v>brak nazwy powiatu</v>
      </c>
      <c r="E16" s="24" t="str">
        <f>IFERROR(VLOOKUP($D16,kat_zadania[],katalogi!$N$1-katalogi!$L$1,FALSE),"brak nazwy powiatu")</f>
        <v>brak nazwy powiatu</v>
      </c>
      <c r="F16" s="82"/>
      <c r="G16" s="82"/>
      <c r="H16" s="83"/>
      <c r="I16" s="80"/>
      <c r="J16" s="80"/>
      <c r="K16" s="81"/>
      <c r="AC16" s="1" t="b">
        <f>OR(NOT(ISBLANK(F16)),NOT(ISBLANK(#REF!)))</f>
        <v>1</v>
      </c>
    </row>
    <row r="17" spans="1:29" ht="23.1" customHeight="1" x14ac:dyDescent="0.2">
      <c r="A17" s="3">
        <v>9</v>
      </c>
      <c r="B17" s="3">
        <f>tabela_informacyjna_dla_innych!$G$10</f>
        <v>0</v>
      </c>
      <c r="C17" s="48"/>
      <c r="D17" s="50" t="str">
        <f>IFERROR(CONCATENATE(VLOOKUP((VLOOKUP($C17,powiaty_26[[powiat]:[kod powiatu2]],2,FALSE)),powiaty_26[],katalogi!$D$1,FALSE),"_BDO"),"brak nazwy powiatu")</f>
        <v>brak nazwy powiatu</v>
      </c>
      <c r="E17" s="24" t="str">
        <f>IFERROR(VLOOKUP($D17,kat_zadania[],katalogi!$N$1-katalogi!$L$1,FALSE),"brak nazwy powiatu")</f>
        <v>brak nazwy powiatu</v>
      </c>
      <c r="F17" s="82"/>
      <c r="G17" s="82"/>
      <c r="H17" s="83"/>
      <c r="I17" s="80"/>
      <c r="J17" s="80"/>
      <c r="K17" s="81"/>
      <c r="AC17" s="1" t="b">
        <f>OR(NOT(ISBLANK(F17)),NOT(ISBLANK(#REF!)))</f>
        <v>1</v>
      </c>
    </row>
    <row r="18" spans="1:29" ht="23.1" customHeight="1" x14ac:dyDescent="0.2">
      <c r="A18" s="3">
        <v>10</v>
      </c>
      <c r="B18" s="3">
        <f>tabela_informacyjna_dla_innych!$G$10</f>
        <v>0</v>
      </c>
      <c r="C18" s="48"/>
      <c r="D18" s="50" t="str">
        <f>IFERROR(CONCATENATE(VLOOKUP((VLOOKUP($C18,powiaty_26[[powiat]:[kod powiatu2]],2,FALSE)),powiaty_26[],katalogi!$D$1,FALSE),"_BDO"),"brak nazwy powiatu")</f>
        <v>brak nazwy powiatu</v>
      </c>
      <c r="E18" s="24" t="str">
        <f>IFERROR(VLOOKUP($D18,kat_zadania[],katalogi!$N$1-katalogi!$L$1,FALSE),"brak nazwy powiatu")</f>
        <v>brak nazwy powiatu</v>
      </c>
      <c r="F18" s="82"/>
      <c r="G18" s="82"/>
      <c r="H18" s="83"/>
      <c r="I18" s="80"/>
      <c r="J18" s="80"/>
      <c r="K18" s="81"/>
    </row>
    <row r="19" spans="1:29" ht="23.1" customHeight="1" x14ac:dyDescent="0.2">
      <c r="A19" s="3">
        <v>11</v>
      </c>
      <c r="B19" s="3">
        <f>tabela_informacyjna_dla_innych!$G$10</f>
        <v>0</v>
      </c>
      <c r="C19" s="48"/>
      <c r="D19" s="50" t="str">
        <f>IFERROR(CONCATENATE(VLOOKUP((VLOOKUP($C19,powiaty_26[[powiat]:[kod powiatu2]],2,FALSE)),powiaty_26[],katalogi!$D$1,FALSE),"_BDO"),"brak nazwy powiatu")</f>
        <v>brak nazwy powiatu</v>
      </c>
      <c r="E19" s="24" t="str">
        <f>IFERROR(VLOOKUP($D19,kat_zadania[],katalogi!$N$1-katalogi!$L$1,FALSE),"brak nazwy powiatu")</f>
        <v>brak nazwy powiatu</v>
      </c>
      <c r="F19" s="82"/>
      <c r="G19" s="82"/>
      <c r="H19" s="83"/>
      <c r="I19" s="80"/>
      <c r="J19" s="80"/>
      <c r="K19" s="81"/>
    </row>
    <row r="20" spans="1:29" ht="23.1" customHeight="1" x14ac:dyDescent="0.2">
      <c r="A20" s="3">
        <v>12</v>
      </c>
      <c r="B20" s="3">
        <f>tabela_informacyjna_dla_innych!$G$10</f>
        <v>0</v>
      </c>
      <c r="C20" s="48"/>
      <c r="D20" s="50" t="str">
        <f>IFERROR(CONCATENATE(VLOOKUP((VLOOKUP($C20,powiaty_26[[powiat]:[kod powiatu2]],2,FALSE)),powiaty_26[],katalogi!$D$1,FALSE),"_BDO"),"brak nazwy powiatu")</f>
        <v>brak nazwy powiatu</v>
      </c>
      <c r="E20" s="24" t="str">
        <f>IFERROR(VLOOKUP($D20,kat_zadania[],katalogi!$N$1-katalogi!$L$1,FALSE),"brak nazwy powiatu")</f>
        <v>brak nazwy powiatu</v>
      </c>
      <c r="F20" s="82"/>
      <c r="G20" s="82"/>
      <c r="H20" s="83"/>
      <c r="I20" s="80"/>
      <c r="J20" s="80"/>
      <c r="K20" s="81"/>
    </row>
    <row r="21" spans="1:29" ht="23.1" customHeight="1" x14ac:dyDescent="0.2">
      <c r="A21" s="3">
        <v>13</v>
      </c>
      <c r="B21" s="3">
        <f>tabela_informacyjna_dla_innych!$G$10</f>
        <v>0</v>
      </c>
      <c r="C21" s="48"/>
      <c r="D21" s="50" t="str">
        <f>IFERROR(CONCATENATE(VLOOKUP((VLOOKUP($C21,powiaty_26[[powiat]:[kod powiatu2]],2,FALSE)),powiaty_26[],katalogi!$D$1,FALSE),"_BDO"),"brak nazwy powiatu")</f>
        <v>brak nazwy powiatu</v>
      </c>
      <c r="E21" s="24" t="str">
        <f>IFERROR(VLOOKUP($D21,kat_zadania[],katalogi!$N$1-katalogi!$L$1,FALSE),"brak nazwy powiatu")</f>
        <v>brak nazwy powiatu</v>
      </c>
      <c r="F21" s="82"/>
      <c r="G21" s="82"/>
      <c r="H21" s="83"/>
      <c r="I21" s="80"/>
      <c r="J21" s="80"/>
      <c r="K21" s="81"/>
    </row>
    <row r="22" spans="1:29" ht="23.1" customHeight="1" x14ac:dyDescent="0.2">
      <c r="A22" s="3">
        <v>14</v>
      </c>
      <c r="B22" s="3">
        <f>tabela_informacyjna_dla_innych!$G$10</f>
        <v>0</v>
      </c>
      <c r="C22" s="48"/>
      <c r="D22" s="50" t="str">
        <f>IFERROR(CONCATENATE(VLOOKUP((VLOOKUP($C22,powiaty_26[[powiat]:[kod powiatu2]],2,FALSE)),powiaty_26[],katalogi!$D$1,FALSE),"_BDO"),"brak nazwy powiatu")</f>
        <v>brak nazwy powiatu</v>
      </c>
      <c r="E22" s="24" t="str">
        <f>IFERROR(VLOOKUP($D22,kat_zadania[],katalogi!$N$1-katalogi!$L$1,FALSE),"brak nazwy powiatu")</f>
        <v>brak nazwy powiatu</v>
      </c>
      <c r="F22" s="82"/>
      <c r="G22" s="82"/>
      <c r="H22" s="83"/>
      <c r="I22" s="80"/>
      <c r="J22" s="80"/>
      <c r="K22" s="81"/>
      <c r="AC22" s="1" t="b">
        <f>OR(NOT(ISBLANK(F22)),NOT(ISBLANK(#REF!)))</f>
        <v>1</v>
      </c>
    </row>
  </sheetData>
  <sheetProtection formatCells="0" formatRows="0" sort="0" autoFilter="0" pivotTables="0"/>
  <mergeCells count="13">
    <mergeCell ref="H2:J2"/>
    <mergeCell ref="H5:H6"/>
    <mergeCell ref="K5:K6"/>
    <mergeCell ref="H3:J3"/>
    <mergeCell ref="A5:A6"/>
    <mergeCell ref="C5:C6"/>
    <mergeCell ref="D5:D6"/>
    <mergeCell ref="E5:E6"/>
    <mergeCell ref="F5:F6"/>
    <mergeCell ref="B5:B6"/>
    <mergeCell ref="G5:G6"/>
    <mergeCell ref="I5:I6"/>
    <mergeCell ref="J5:J6"/>
  </mergeCells>
  <conditionalFormatting sqref="B9:B22">
    <cfRule type="cellIs" dxfId="0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H9:J22">
      <formula1>0</formula1>
    </dataValidation>
    <dataValidation type="list" allowBlank="1" showInputMessage="1" showErrorMessage="1" sqref="C9:C22">
      <formula1>nazwy_powiaty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21</vt:i4>
      </vt:variant>
    </vt:vector>
  </HeadingPairs>
  <TitlesOfParts>
    <vt:vector size="27" baseType="lpstr">
      <vt:lpstr>katalogi</vt:lpstr>
      <vt:lpstr>katalog_gmin_PL26</vt:lpstr>
      <vt:lpstr>wskaźniki_efektu</vt:lpstr>
      <vt:lpstr>instrukcja</vt:lpstr>
      <vt:lpstr>tabela_informacyjna_dla_innych</vt:lpstr>
      <vt:lpstr>tab.4_BDO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tab.4_BDO!nazwy_gmin</vt:lpstr>
      <vt:lpstr>tabela_informacyjna_dla_innych!nazwy_gmin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Wojcieszyńska, Urszula</cp:lastModifiedBy>
  <dcterms:created xsi:type="dcterms:W3CDTF">2014-03-17T07:23:47Z</dcterms:created>
  <dcterms:modified xsi:type="dcterms:W3CDTF">2024-12-13T12:35:46Z</dcterms:modified>
</cp:coreProperties>
</file>